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hidePivotFieldList="1" defaultThemeVersion="124226"/>
  <bookViews>
    <workbookView xWindow="0" yWindow="0" windowWidth="15600" windowHeight="7755" tabRatio="521" activeTab="1"/>
  </bookViews>
  <sheets>
    <sheet name="BD EMPLEADOS" sheetId="7" r:id="rId1"/>
    <sheet name="NOMINA" sheetId="1" r:id="rId2"/>
    <sheet name="COLILLA DE PAGO" sheetId="6" r:id="rId3"/>
    <sheet name="MAPA MENTAL" sheetId="8" r:id="rId4"/>
  </sheets>
  <definedNames>
    <definedName name="datosempleados">'BD EMPLEADOS'!$1:$1048576</definedName>
    <definedName name="planillanomina">NOMINA!$1:$1048576</definedName>
  </definedNames>
  <calcPr calcId="144525"/>
</workbook>
</file>

<file path=xl/calcChain.xml><?xml version="1.0" encoding="utf-8"?>
<calcChain xmlns="http://schemas.openxmlformats.org/spreadsheetml/2006/main">
  <c r="N21" i="1" l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13" i="1"/>
  <c r="P13" i="1"/>
  <c r="E569" i="6"/>
  <c r="E566" i="6"/>
  <c r="E565" i="6"/>
  <c r="E564" i="6"/>
  <c r="D564" i="6"/>
  <c r="B564" i="6"/>
  <c r="E563" i="6"/>
  <c r="B563" i="6"/>
  <c r="E562" i="6"/>
  <c r="B562" i="6"/>
  <c r="E561" i="6"/>
  <c r="B561" i="6"/>
  <c r="E560" i="6"/>
  <c r="B560" i="6"/>
  <c r="B558" i="6"/>
  <c r="E550" i="6"/>
  <c r="E547" i="6"/>
  <c r="E546" i="6"/>
  <c r="E545" i="6"/>
  <c r="D545" i="6"/>
  <c r="B545" i="6"/>
  <c r="E544" i="6"/>
  <c r="B544" i="6"/>
  <c r="E543" i="6"/>
  <c r="B543" i="6"/>
  <c r="E542" i="6"/>
  <c r="B542" i="6"/>
  <c r="E541" i="6"/>
  <c r="B541" i="6"/>
  <c r="B539" i="6"/>
  <c r="E531" i="6"/>
  <c r="E528" i="6"/>
  <c r="E527" i="6"/>
  <c r="E526" i="6"/>
  <c r="D526" i="6"/>
  <c r="B526" i="6"/>
  <c r="E525" i="6"/>
  <c r="B525" i="6"/>
  <c r="E524" i="6"/>
  <c r="B524" i="6"/>
  <c r="E523" i="6"/>
  <c r="B523" i="6"/>
  <c r="E522" i="6"/>
  <c r="B522" i="6"/>
  <c r="B520" i="6"/>
  <c r="E512" i="6"/>
  <c r="E509" i="6"/>
  <c r="E508" i="6"/>
  <c r="E507" i="6"/>
  <c r="D507" i="6"/>
  <c r="B507" i="6"/>
  <c r="E506" i="6"/>
  <c r="B506" i="6"/>
  <c r="E505" i="6"/>
  <c r="B505" i="6"/>
  <c r="E504" i="6"/>
  <c r="B504" i="6"/>
  <c r="E503" i="6"/>
  <c r="B503" i="6"/>
  <c r="B501" i="6"/>
  <c r="E493" i="6"/>
  <c r="E490" i="6"/>
  <c r="E489" i="6"/>
  <c r="E488" i="6"/>
  <c r="D488" i="6"/>
  <c r="B488" i="6"/>
  <c r="E487" i="6"/>
  <c r="B487" i="6"/>
  <c r="E486" i="6"/>
  <c r="B486" i="6"/>
  <c r="E485" i="6"/>
  <c r="B485" i="6"/>
  <c r="E484" i="6"/>
  <c r="B484" i="6"/>
  <c r="B482" i="6"/>
  <c r="E474" i="6"/>
  <c r="E471" i="6"/>
  <c r="E470" i="6"/>
  <c r="E469" i="6"/>
  <c r="D469" i="6"/>
  <c r="B469" i="6"/>
  <c r="E468" i="6"/>
  <c r="B468" i="6"/>
  <c r="E467" i="6"/>
  <c r="B467" i="6"/>
  <c r="E466" i="6"/>
  <c r="B466" i="6"/>
  <c r="E465" i="6"/>
  <c r="B465" i="6"/>
  <c r="B463" i="6"/>
  <c r="E455" i="6"/>
  <c r="E452" i="6"/>
  <c r="E451" i="6"/>
  <c r="E450" i="6"/>
  <c r="D450" i="6"/>
  <c r="B450" i="6"/>
  <c r="E449" i="6"/>
  <c r="B449" i="6"/>
  <c r="E448" i="6"/>
  <c r="B448" i="6"/>
  <c r="E447" i="6"/>
  <c r="B447" i="6"/>
  <c r="E446" i="6"/>
  <c r="B446" i="6"/>
  <c r="B444" i="6"/>
  <c r="E436" i="6"/>
  <c r="E433" i="6"/>
  <c r="E432" i="6"/>
  <c r="E431" i="6"/>
  <c r="D431" i="6"/>
  <c r="B431" i="6"/>
  <c r="E430" i="6"/>
  <c r="B430" i="6"/>
  <c r="E429" i="6"/>
  <c r="B429" i="6"/>
  <c r="E428" i="6"/>
  <c r="B428" i="6"/>
  <c r="E427" i="6"/>
  <c r="B427" i="6"/>
  <c r="B425" i="6"/>
  <c r="E417" i="6"/>
  <c r="E414" i="6"/>
  <c r="E413" i="6"/>
  <c r="E412" i="6"/>
  <c r="D412" i="6"/>
  <c r="B412" i="6"/>
  <c r="E411" i="6"/>
  <c r="B411" i="6"/>
  <c r="E410" i="6"/>
  <c r="B410" i="6"/>
  <c r="E409" i="6"/>
  <c r="B409" i="6"/>
  <c r="E408" i="6"/>
  <c r="B408" i="6"/>
  <c r="B406" i="6"/>
  <c r="E398" i="6"/>
  <c r="E395" i="6"/>
  <c r="E394" i="6"/>
  <c r="E393" i="6"/>
  <c r="D393" i="6"/>
  <c r="B393" i="6"/>
  <c r="E392" i="6"/>
  <c r="B392" i="6"/>
  <c r="E391" i="6"/>
  <c r="B391" i="6"/>
  <c r="E390" i="6"/>
  <c r="B390" i="6"/>
  <c r="E389" i="6"/>
  <c r="B389" i="6"/>
  <c r="B387" i="6"/>
  <c r="E379" i="6"/>
  <c r="E376" i="6"/>
  <c r="E375" i="6"/>
  <c r="E374" i="6"/>
  <c r="D374" i="6"/>
  <c r="B374" i="6"/>
  <c r="E373" i="6"/>
  <c r="B373" i="6"/>
  <c r="E372" i="6"/>
  <c r="B372" i="6"/>
  <c r="E371" i="6"/>
  <c r="B371" i="6"/>
  <c r="E370" i="6"/>
  <c r="B370" i="6"/>
  <c r="B368" i="6"/>
  <c r="E360" i="6"/>
  <c r="E357" i="6"/>
  <c r="E356" i="6"/>
  <c r="E355" i="6"/>
  <c r="D355" i="6"/>
  <c r="B355" i="6"/>
  <c r="E354" i="6"/>
  <c r="B354" i="6"/>
  <c r="E353" i="6"/>
  <c r="B353" i="6"/>
  <c r="E352" i="6"/>
  <c r="B352" i="6"/>
  <c r="E351" i="6"/>
  <c r="B351" i="6"/>
  <c r="B349" i="6"/>
  <c r="E341" i="6"/>
  <c r="E338" i="6"/>
  <c r="E337" i="6"/>
  <c r="E336" i="6"/>
  <c r="D336" i="6"/>
  <c r="B336" i="6"/>
  <c r="E335" i="6"/>
  <c r="B335" i="6"/>
  <c r="E334" i="6"/>
  <c r="B334" i="6"/>
  <c r="E333" i="6"/>
  <c r="B333" i="6"/>
  <c r="E332" i="6"/>
  <c r="B332" i="6"/>
  <c r="B330" i="6"/>
  <c r="E322" i="6"/>
  <c r="E319" i="6"/>
  <c r="E318" i="6"/>
  <c r="E317" i="6"/>
  <c r="D317" i="6"/>
  <c r="B317" i="6"/>
  <c r="E316" i="6"/>
  <c r="B316" i="6"/>
  <c r="E315" i="6"/>
  <c r="B315" i="6"/>
  <c r="E314" i="6"/>
  <c r="B314" i="6"/>
  <c r="E313" i="6"/>
  <c r="B313" i="6"/>
  <c r="B311" i="6"/>
  <c r="E303" i="6"/>
  <c r="E300" i="6"/>
  <c r="E299" i="6"/>
  <c r="E298" i="6"/>
  <c r="D298" i="6"/>
  <c r="B298" i="6"/>
  <c r="E297" i="6"/>
  <c r="B297" i="6"/>
  <c r="E296" i="6"/>
  <c r="B296" i="6"/>
  <c r="E295" i="6"/>
  <c r="B295" i="6"/>
  <c r="E294" i="6"/>
  <c r="B294" i="6"/>
  <c r="B292" i="6"/>
  <c r="E284" i="6"/>
  <c r="E281" i="6"/>
  <c r="E280" i="6"/>
  <c r="E279" i="6"/>
  <c r="D279" i="6"/>
  <c r="B279" i="6"/>
  <c r="E278" i="6"/>
  <c r="B278" i="6"/>
  <c r="E277" i="6"/>
  <c r="B277" i="6"/>
  <c r="E276" i="6"/>
  <c r="B276" i="6"/>
  <c r="E275" i="6"/>
  <c r="B275" i="6"/>
  <c r="B273" i="6"/>
  <c r="E265" i="6"/>
  <c r="E262" i="6"/>
  <c r="E261" i="6"/>
  <c r="E260" i="6"/>
  <c r="D260" i="6"/>
  <c r="B260" i="6"/>
  <c r="E259" i="6"/>
  <c r="B259" i="6"/>
  <c r="E258" i="6"/>
  <c r="B258" i="6"/>
  <c r="E257" i="6"/>
  <c r="B257" i="6"/>
  <c r="E256" i="6"/>
  <c r="B256" i="6"/>
  <c r="B254" i="6"/>
  <c r="E246" i="6"/>
  <c r="E243" i="6"/>
  <c r="E242" i="6"/>
  <c r="E241" i="6"/>
  <c r="D241" i="6"/>
  <c r="B241" i="6"/>
  <c r="E240" i="6"/>
  <c r="B240" i="6"/>
  <c r="E239" i="6"/>
  <c r="B239" i="6"/>
  <c r="E238" i="6"/>
  <c r="B238" i="6"/>
  <c r="E237" i="6"/>
  <c r="B237" i="6"/>
  <c r="B235" i="6"/>
  <c r="E227" i="6"/>
  <c r="E224" i="6"/>
  <c r="E223" i="6"/>
  <c r="E222" i="6"/>
  <c r="D222" i="6"/>
  <c r="B222" i="6"/>
  <c r="E221" i="6"/>
  <c r="B221" i="6"/>
  <c r="E220" i="6"/>
  <c r="B220" i="6"/>
  <c r="E219" i="6"/>
  <c r="B219" i="6"/>
  <c r="E218" i="6"/>
  <c r="B218" i="6"/>
  <c r="B216" i="6"/>
  <c r="E208" i="6"/>
  <c r="E205" i="6"/>
  <c r="E204" i="6"/>
  <c r="E203" i="6"/>
  <c r="D203" i="6"/>
  <c r="B203" i="6"/>
  <c r="E202" i="6"/>
  <c r="B202" i="6"/>
  <c r="E201" i="6"/>
  <c r="B201" i="6"/>
  <c r="E200" i="6"/>
  <c r="B200" i="6"/>
  <c r="E199" i="6"/>
  <c r="B199" i="6"/>
  <c r="B197" i="6"/>
  <c r="E189" i="6"/>
  <c r="E186" i="6"/>
  <c r="E185" i="6"/>
  <c r="E184" i="6"/>
  <c r="D184" i="6"/>
  <c r="B184" i="6"/>
  <c r="E183" i="6"/>
  <c r="B183" i="6"/>
  <c r="E182" i="6"/>
  <c r="B182" i="6"/>
  <c r="E181" i="6"/>
  <c r="B181" i="6"/>
  <c r="E180" i="6"/>
  <c r="B180" i="6"/>
  <c r="B178" i="6"/>
  <c r="E170" i="6"/>
  <c r="E167" i="6"/>
  <c r="E166" i="6"/>
  <c r="E165" i="6"/>
  <c r="D165" i="6"/>
  <c r="B165" i="6"/>
  <c r="E164" i="6"/>
  <c r="B164" i="6"/>
  <c r="E163" i="6"/>
  <c r="B163" i="6"/>
  <c r="E162" i="6"/>
  <c r="B162" i="6"/>
  <c r="E161" i="6"/>
  <c r="B161" i="6"/>
  <c r="B159" i="6"/>
  <c r="E151" i="6"/>
  <c r="E148" i="6"/>
  <c r="E147" i="6"/>
  <c r="E146" i="6"/>
  <c r="D146" i="6"/>
  <c r="B146" i="6"/>
  <c r="E145" i="6"/>
  <c r="B145" i="6"/>
  <c r="E144" i="6"/>
  <c r="B144" i="6"/>
  <c r="E143" i="6"/>
  <c r="B143" i="6"/>
  <c r="E142" i="6"/>
  <c r="B142" i="6"/>
  <c r="B140" i="6"/>
  <c r="E132" i="6"/>
  <c r="E129" i="6"/>
  <c r="E128" i="6"/>
  <c r="E127" i="6"/>
  <c r="D127" i="6"/>
  <c r="B127" i="6"/>
  <c r="E126" i="6"/>
  <c r="B126" i="6"/>
  <c r="E125" i="6"/>
  <c r="B125" i="6"/>
  <c r="E124" i="6"/>
  <c r="B124" i="6"/>
  <c r="E123" i="6"/>
  <c r="B123" i="6"/>
  <c r="B121" i="6"/>
  <c r="E113" i="6"/>
  <c r="E110" i="6"/>
  <c r="E109" i="6"/>
  <c r="E108" i="6"/>
  <c r="D108" i="6"/>
  <c r="B108" i="6"/>
  <c r="E107" i="6"/>
  <c r="B107" i="6"/>
  <c r="E106" i="6"/>
  <c r="B106" i="6"/>
  <c r="E105" i="6"/>
  <c r="B105" i="6"/>
  <c r="E104" i="6"/>
  <c r="B104" i="6"/>
  <c r="B102" i="6"/>
  <c r="E94" i="6"/>
  <c r="E91" i="6"/>
  <c r="E90" i="6"/>
  <c r="E89" i="6"/>
  <c r="D89" i="6"/>
  <c r="B89" i="6"/>
  <c r="E88" i="6"/>
  <c r="B88" i="6"/>
  <c r="E87" i="6"/>
  <c r="B87" i="6"/>
  <c r="E86" i="6"/>
  <c r="B86" i="6"/>
  <c r="E85" i="6"/>
  <c r="B85" i="6"/>
  <c r="B83" i="6"/>
  <c r="E75" i="6"/>
  <c r="E72" i="6"/>
  <c r="E71" i="6"/>
  <c r="E70" i="6"/>
  <c r="D70" i="6"/>
  <c r="B70" i="6"/>
  <c r="E69" i="6"/>
  <c r="B69" i="6"/>
  <c r="E68" i="6"/>
  <c r="B68" i="6"/>
  <c r="E67" i="6"/>
  <c r="B67" i="6"/>
  <c r="E66" i="6"/>
  <c r="B66" i="6"/>
  <c r="B64" i="6"/>
  <c r="E56" i="6"/>
  <c r="E53" i="6"/>
  <c r="E52" i="6"/>
  <c r="E51" i="6"/>
  <c r="D51" i="6"/>
  <c r="B51" i="6"/>
  <c r="E50" i="6"/>
  <c r="B50" i="6"/>
  <c r="E49" i="6"/>
  <c r="B49" i="6"/>
  <c r="E48" i="6"/>
  <c r="B48" i="6"/>
  <c r="E47" i="6"/>
  <c r="B47" i="6"/>
  <c r="B45" i="6"/>
  <c r="E37" i="6"/>
  <c r="E34" i="6"/>
  <c r="E33" i="6"/>
  <c r="E32" i="6"/>
  <c r="D32" i="6"/>
  <c r="B32" i="6"/>
  <c r="E31" i="6"/>
  <c r="B31" i="6"/>
  <c r="E30" i="6"/>
  <c r="B30" i="6"/>
  <c r="E29" i="6"/>
  <c r="B29" i="6"/>
  <c r="E28" i="6"/>
  <c r="B28" i="6"/>
  <c r="B26" i="6"/>
  <c r="E18" i="6"/>
  <c r="D13" i="6"/>
  <c r="E15" i="6"/>
  <c r="E14" i="6"/>
  <c r="E13" i="6"/>
  <c r="E12" i="6"/>
  <c r="E11" i="6"/>
  <c r="E10" i="6"/>
  <c r="E9" i="6"/>
  <c r="B13" i="6"/>
  <c r="B12" i="6"/>
  <c r="B11" i="6"/>
  <c r="B10" i="6"/>
  <c r="B9" i="6"/>
  <c r="B7" i="6"/>
  <c r="E14" i="1" l="1"/>
  <c r="F14" i="1" s="1"/>
  <c r="E15" i="1"/>
  <c r="E16" i="1"/>
  <c r="E17" i="1"/>
  <c r="E18" i="1"/>
  <c r="E19" i="1"/>
  <c r="E20" i="1"/>
  <c r="E21" i="1"/>
  <c r="E22" i="1"/>
  <c r="E23" i="1"/>
  <c r="E24" i="1"/>
  <c r="F24" i="1" s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F38" i="1" s="1"/>
  <c r="E39" i="1"/>
  <c r="E40" i="1"/>
  <c r="E41" i="1"/>
  <c r="E42" i="1"/>
  <c r="E43" i="1"/>
  <c r="F39" i="1" l="1"/>
  <c r="F17" i="1"/>
  <c r="F21" i="1"/>
  <c r="F29" i="1"/>
  <c r="F31" i="1"/>
  <c r="F33" i="1"/>
  <c r="F35" i="1"/>
  <c r="F41" i="1"/>
  <c r="P24" i="1"/>
  <c r="X24" i="1"/>
  <c r="F18" i="1"/>
  <c r="F16" i="1"/>
  <c r="F19" i="1"/>
  <c r="F26" i="1"/>
  <c r="F30" i="1"/>
  <c r="F32" i="1"/>
  <c r="F34" i="1"/>
  <c r="F36" i="1"/>
  <c r="F40" i="1"/>
  <c r="F42" i="1"/>
  <c r="P38" i="1"/>
  <c r="P14" i="1"/>
  <c r="X38" i="1"/>
  <c r="X14" i="1"/>
  <c r="F22" i="1"/>
  <c r="F27" i="1"/>
  <c r="F37" i="1"/>
  <c r="F15" i="1"/>
  <c r="F28" i="1"/>
  <c r="F25" i="1"/>
  <c r="F23" i="1"/>
  <c r="F20" i="1"/>
  <c r="E4" i="7"/>
  <c r="E13" i="1"/>
  <c r="E5" i="7"/>
  <c r="E6" i="7"/>
  <c r="E7" i="7"/>
  <c r="E8" i="7"/>
  <c r="E9" i="7"/>
  <c r="E10" i="7"/>
  <c r="E11" i="7"/>
  <c r="E12" i="7"/>
  <c r="E13" i="7"/>
  <c r="E14" i="7"/>
  <c r="E15" i="7"/>
  <c r="E16" i="7"/>
  <c r="E17" i="7"/>
  <c r="E18" i="7"/>
  <c r="E19" i="7"/>
  <c r="E20" i="7"/>
  <c r="E21" i="7"/>
  <c r="E22" i="7"/>
  <c r="E23" i="7"/>
  <c r="E24" i="7"/>
  <c r="E25" i="7"/>
  <c r="E26" i="7"/>
  <c r="E27" i="7"/>
  <c r="E28" i="7"/>
  <c r="E29" i="7"/>
  <c r="E30" i="7"/>
  <c r="E31" i="7"/>
  <c r="E32" i="7"/>
  <c r="E33" i="7"/>
  <c r="C16" i="1"/>
  <c r="C17" i="1"/>
  <c r="C18" i="1"/>
  <c r="Q18" i="1" s="1"/>
  <c r="C19" i="1"/>
  <c r="C20" i="1"/>
  <c r="Q20" i="1" s="1"/>
  <c r="C21" i="1"/>
  <c r="C22" i="1"/>
  <c r="C23" i="1"/>
  <c r="Q23" i="1" s="1"/>
  <c r="C24" i="1"/>
  <c r="Q24" i="1" s="1"/>
  <c r="C25" i="1"/>
  <c r="Q25" i="1" s="1"/>
  <c r="C26" i="1"/>
  <c r="C27" i="1"/>
  <c r="Q27" i="1" s="1"/>
  <c r="C28" i="1"/>
  <c r="Q28" i="1" s="1"/>
  <c r="C29" i="1"/>
  <c r="C30" i="1"/>
  <c r="C31" i="1"/>
  <c r="C32" i="1"/>
  <c r="C33" i="1"/>
  <c r="C34" i="1"/>
  <c r="C35" i="1"/>
  <c r="C36" i="1"/>
  <c r="C37" i="1"/>
  <c r="Q37" i="1" s="1"/>
  <c r="C38" i="1"/>
  <c r="C39" i="1"/>
  <c r="C40" i="1"/>
  <c r="C41" i="1"/>
  <c r="C42" i="1"/>
  <c r="C43" i="1"/>
  <c r="C13" i="1"/>
  <c r="Q13" i="1" s="1"/>
  <c r="C14" i="1"/>
  <c r="C15" i="1"/>
  <c r="Q15" i="1" s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13" i="1"/>
  <c r="B43" i="1"/>
  <c r="F43" i="1"/>
  <c r="M43" i="1"/>
  <c r="I43" i="1"/>
  <c r="Q14" i="1" l="1"/>
  <c r="H14" i="1"/>
  <c r="L14" i="1" s="1"/>
  <c r="G14" i="1"/>
  <c r="K14" i="1" s="1"/>
  <c r="J14" i="1"/>
  <c r="N14" i="1" s="1"/>
  <c r="I14" i="1"/>
  <c r="M14" i="1" s="1"/>
  <c r="Q41" i="1"/>
  <c r="I41" i="1"/>
  <c r="M41" i="1" s="1"/>
  <c r="J41" i="1"/>
  <c r="N41" i="1" s="1"/>
  <c r="H41" i="1"/>
  <c r="L41" i="1" s="1"/>
  <c r="G41" i="1"/>
  <c r="K41" i="1" s="1"/>
  <c r="Q39" i="1"/>
  <c r="J39" i="1"/>
  <c r="N39" i="1" s="1"/>
  <c r="Q35" i="1"/>
  <c r="H35" i="1"/>
  <c r="L35" i="1" s="1"/>
  <c r="G35" i="1"/>
  <c r="K35" i="1" s="1"/>
  <c r="J35" i="1"/>
  <c r="N35" i="1" s="1"/>
  <c r="I35" i="1"/>
  <c r="M35" i="1" s="1"/>
  <c r="Q31" i="1"/>
  <c r="J31" i="1"/>
  <c r="N31" i="1" s="1"/>
  <c r="H31" i="1"/>
  <c r="L31" i="1" s="1"/>
  <c r="G31" i="1"/>
  <c r="K31" i="1" s="1"/>
  <c r="I31" i="1"/>
  <c r="M31" i="1" s="1"/>
  <c r="Q29" i="1"/>
  <c r="H29" i="1"/>
  <c r="L29" i="1" s="1"/>
  <c r="G29" i="1"/>
  <c r="K29" i="1" s="1"/>
  <c r="J29" i="1"/>
  <c r="N29" i="1" s="1"/>
  <c r="I29" i="1"/>
  <c r="M29" i="1" s="1"/>
  <c r="Q21" i="1"/>
  <c r="J21" i="1"/>
  <c r="H21" i="1"/>
  <c r="L21" i="1" s="1"/>
  <c r="G21" i="1"/>
  <c r="K21" i="1" s="1"/>
  <c r="I21" i="1"/>
  <c r="M21" i="1" s="1"/>
  <c r="Q19" i="1"/>
  <c r="H19" i="1"/>
  <c r="L19" i="1" s="1"/>
  <c r="J19" i="1"/>
  <c r="N19" i="1" s="1"/>
  <c r="I19" i="1"/>
  <c r="M19" i="1" s="1"/>
  <c r="G19" i="1"/>
  <c r="K19" i="1" s="1"/>
  <c r="P28" i="1"/>
  <c r="X28" i="1"/>
  <c r="Q42" i="1"/>
  <c r="J42" i="1"/>
  <c r="N42" i="1" s="1"/>
  <c r="I42" i="1"/>
  <c r="M42" i="1" s="1"/>
  <c r="H42" i="1"/>
  <c r="L42" i="1" s="1"/>
  <c r="G42" i="1"/>
  <c r="K42" i="1" s="1"/>
  <c r="Q40" i="1"/>
  <c r="G40" i="1"/>
  <c r="K40" i="1" s="1"/>
  <c r="I40" i="1"/>
  <c r="M40" i="1" s="1"/>
  <c r="J40" i="1"/>
  <c r="N40" i="1" s="1"/>
  <c r="H40" i="1"/>
  <c r="L40" i="1" s="1"/>
  <c r="Q38" i="1"/>
  <c r="J38" i="1"/>
  <c r="N38" i="1" s="1"/>
  <c r="H38" i="1"/>
  <c r="L38" i="1" s="1"/>
  <c r="G38" i="1"/>
  <c r="K38" i="1" s="1"/>
  <c r="I38" i="1"/>
  <c r="M38" i="1" s="1"/>
  <c r="Q36" i="1"/>
  <c r="H36" i="1"/>
  <c r="L36" i="1" s="1"/>
  <c r="J36" i="1"/>
  <c r="N36" i="1" s="1"/>
  <c r="I36" i="1"/>
  <c r="M36" i="1" s="1"/>
  <c r="G36" i="1"/>
  <c r="K36" i="1" s="1"/>
  <c r="Q34" i="1"/>
  <c r="G34" i="1"/>
  <c r="K34" i="1" s="1"/>
  <c r="J34" i="1"/>
  <c r="N34" i="1" s="1"/>
  <c r="I34" i="1"/>
  <c r="M34" i="1" s="1"/>
  <c r="H34" i="1"/>
  <c r="L34" i="1" s="1"/>
  <c r="Q32" i="1"/>
  <c r="J32" i="1"/>
  <c r="N32" i="1" s="1"/>
  <c r="I32" i="1"/>
  <c r="M32" i="1" s="1"/>
  <c r="H32" i="1"/>
  <c r="L32" i="1" s="1"/>
  <c r="G32" i="1"/>
  <c r="K32" i="1" s="1"/>
  <c r="Q30" i="1"/>
  <c r="H30" i="1"/>
  <c r="L30" i="1" s="1"/>
  <c r="G30" i="1"/>
  <c r="K30" i="1" s="1"/>
  <c r="J30" i="1"/>
  <c r="N30" i="1" s="1"/>
  <c r="I30" i="1"/>
  <c r="M30" i="1" s="1"/>
  <c r="Q26" i="1"/>
  <c r="J26" i="1"/>
  <c r="N26" i="1" s="1"/>
  <c r="I26" i="1"/>
  <c r="M26" i="1" s="1"/>
  <c r="H26" i="1"/>
  <c r="L26" i="1" s="1"/>
  <c r="G26" i="1"/>
  <c r="K26" i="1" s="1"/>
  <c r="Q16" i="1"/>
  <c r="G16" i="1"/>
  <c r="K16" i="1" s="1"/>
  <c r="J16" i="1"/>
  <c r="N16" i="1" s="1"/>
  <c r="I16" i="1"/>
  <c r="M16" i="1" s="1"/>
  <c r="H16" i="1"/>
  <c r="L16" i="1" s="1"/>
  <c r="P20" i="1"/>
  <c r="X20" i="1"/>
  <c r="P15" i="1"/>
  <c r="X15" i="1"/>
  <c r="P40" i="1"/>
  <c r="X40" i="1"/>
  <c r="X34" i="1"/>
  <c r="P34" i="1"/>
  <c r="X30" i="1"/>
  <c r="P30" i="1"/>
  <c r="X19" i="1"/>
  <c r="P19" i="1"/>
  <c r="P18" i="1"/>
  <c r="X18" i="1"/>
  <c r="X41" i="1"/>
  <c r="P41" i="1"/>
  <c r="X33" i="1"/>
  <c r="P33" i="1"/>
  <c r="X29" i="1"/>
  <c r="P29" i="1"/>
  <c r="X17" i="1"/>
  <c r="P17" i="1"/>
  <c r="X39" i="1"/>
  <c r="P39" i="1"/>
  <c r="Q33" i="1"/>
  <c r="I33" i="1"/>
  <c r="M33" i="1" s="1"/>
  <c r="H33" i="1"/>
  <c r="L33" i="1" s="1"/>
  <c r="G33" i="1"/>
  <c r="K33" i="1" s="1"/>
  <c r="J33" i="1"/>
  <c r="N33" i="1" s="1"/>
  <c r="Q17" i="1"/>
  <c r="I17" i="1"/>
  <c r="M17" i="1" s="1"/>
  <c r="H17" i="1"/>
  <c r="L17" i="1" s="1"/>
  <c r="G17" i="1"/>
  <c r="K17" i="1" s="1"/>
  <c r="J17" i="1"/>
  <c r="N17" i="1" s="1"/>
  <c r="X23" i="1"/>
  <c r="P23" i="1"/>
  <c r="X42" i="1"/>
  <c r="P42" i="1"/>
  <c r="X36" i="1"/>
  <c r="P36" i="1"/>
  <c r="X32" i="1"/>
  <c r="P32" i="1"/>
  <c r="P26" i="1"/>
  <c r="X26" i="1"/>
  <c r="P16" i="1"/>
  <c r="X16" i="1"/>
  <c r="P35" i="1"/>
  <c r="X35" i="1"/>
  <c r="P31" i="1"/>
  <c r="X31" i="1"/>
  <c r="X21" i="1"/>
  <c r="P21" i="1"/>
  <c r="P25" i="1"/>
  <c r="X25" i="1"/>
  <c r="Q22" i="1"/>
  <c r="I22" i="1"/>
  <c r="M22" i="1" s="1"/>
  <c r="H22" i="1"/>
  <c r="L22" i="1" s="1"/>
  <c r="J22" i="1"/>
  <c r="N22" i="1" s="1"/>
  <c r="G22" i="1"/>
  <c r="K22" i="1" s="1"/>
  <c r="X22" i="1"/>
  <c r="P22" i="1"/>
  <c r="X27" i="1"/>
  <c r="P27" i="1"/>
  <c r="J27" i="1"/>
  <c r="N27" i="1" s="1"/>
  <c r="I27" i="1"/>
  <c r="M27" i="1" s="1"/>
  <c r="H27" i="1"/>
  <c r="L27" i="1" s="1"/>
  <c r="G27" i="1"/>
  <c r="K27" i="1" s="1"/>
  <c r="H37" i="1"/>
  <c r="L37" i="1" s="1"/>
  <c r="J37" i="1"/>
  <c r="N37" i="1" s="1"/>
  <c r="I37" i="1"/>
  <c r="M37" i="1" s="1"/>
  <c r="G37" i="1"/>
  <c r="K37" i="1" s="1"/>
  <c r="P37" i="1"/>
  <c r="X37" i="1"/>
  <c r="J15" i="1"/>
  <c r="N15" i="1" s="1"/>
  <c r="I15" i="1"/>
  <c r="M15" i="1" s="1"/>
  <c r="H15" i="1"/>
  <c r="L15" i="1" s="1"/>
  <c r="G15" i="1"/>
  <c r="K15" i="1" s="1"/>
  <c r="I28" i="1"/>
  <c r="M28" i="1" s="1"/>
  <c r="H28" i="1"/>
  <c r="L28" i="1" s="1"/>
  <c r="J28" i="1"/>
  <c r="N28" i="1" s="1"/>
  <c r="G28" i="1"/>
  <c r="K28" i="1" s="1"/>
  <c r="J24" i="1"/>
  <c r="N24" i="1" s="1"/>
  <c r="I24" i="1"/>
  <c r="M24" i="1" s="1"/>
  <c r="H24" i="1"/>
  <c r="L24" i="1" s="1"/>
  <c r="G24" i="1"/>
  <c r="K24" i="1" s="1"/>
  <c r="J25" i="1"/>
  <c r="N25" i="1" s="1"/>
  <c r="I25" i="1"/>
  <c r="M25" i="1" s="1"/>
  <c r="G25" i="1"/>
  <c r="K25" i="1" s="1"/>
  <c r="H25" i="1"/>
  <c r="L25" i="1" s="1"/>
  <c r="F13" i="1"/>
  <c r="J13" i="1"/>
  <c r="N13" i="1" s="1"/>
  <c r="I13" i="1"/>
  <c r="M13" i="1" s="1"/>
  <c r="H13" i="1"/>
  <c r="L13" i="1" s="1"/>
  <c r="G13" i="1"/>
  <c r="K13" i="1" s="1"/>
  <c r="J23" i="1"/>
  <c r="N23" i="1" s="1"/>
  <c r="I23" i="1"/>
  <c r="M23" i="1" s="1"/>
  <c r="G23" i="1"/>
  <c r="K23" i="1" s="1"/>
  <c r="H23" i="1"/>
  <c r="L23" i="1" s="1"/>
  <c r="I20" i="1"/>
  <c r="M20" i="1" s="1"/>
  <c r="H20" i="1"/>
  <c r="L20" i="1" s="1"/>
  <c r="G20" i="1"/>
  <c r="K20" i="1" s="1"/>
  <c r="J20" i="1"/>
  <c r="N20" i="1" s="1"/>
  <c r="J18" i="1"/>
  <c r="N18" i="1" s="1"/>
  <c r="I18" i="1"/>
  <c r="M18" i="1" s="1"/>
  <c r="G18" i="1"/>
  <c r="K18" i="1" s="1"/>
  <c r="H18" i="1"/>
  <c r="L18" i="1" s="1"/>
  <c r="I39" i="1"/>
  <c r="M39" i="1" s="1"/>
  <c r="H39" i="1"/>
  <c r="L39" i="1" s="1"/>
  <c r="G39" i="1"/>
  <c r="K39" i="1" s="1"/>
  <c r="O39" i="1" l="1"/>
  <c r="S39" i="1" s="1"/>
  <c r="B509" i="6" s="1"/>
  <c r="O18" i="1"/>
  <c r="S18" i="1" s="1"/>
  <c r="O20" i="1"/>
  <c r="S20" i="1" s="1"/>
  <c r="B148" i="6" s="1"/>
  <c r="O37" i="1"/>
  <c r="O33" i="1"/>
  <c r="S33" i="1" s="1"/>
  <c r="B395" i="6" s="1"/>
  <c r="O26" i="1"/>
  <c r="O32" i="1"/>
  <c r="S32" i="1" s="1"/>
  <c r="O36" i="1"/>
  <c r="O38" i="1"/>
  <c r="S38" i="1" s="1"/>
  <c r="O41" i="1"/>
  <c r="S41" i="1" s="1"/>
  <c r="B547" i="6" s="1"/>
  <c r="V39" i="1"/>
  <c r="D505" i="6" s="1"/>
  <c r="U39" i="1"/>
  <c r="D504" i="6" s="1"/>
  <c r="V20" i="1"/>
  <c r="D144" i="6" s="1"/>
  <c r="U20" i="1"/>
  <c r="D143" i="6" s="1"/>
  <c r="V33" i="1"/>
  <c r="D391" i="6" s="1"/>
  <c r="U33" i="1"/>
  <c r="D390" i="6" s="1"/>
  <c r="O16" i="1"/>
  <c r="S16" i="1" s="1"/>
  <c r="B72" i="6" s="1"/>
  <c r="S26" i="1"/>
  <c r="B262" i="6" s="1"/>
  <c r="U32" i="1"/>
  <c r="D371" i="6" s="1"/>
  <c r="O34" i="1"/>
  <c r="S34" i="1" s="1"/>
  <c r="B414" i="6" s="1"/>
  <c r="S36" i="1"/>
  <c r="B452" i="6" s="1"/>
  <c r="V38" i="1"/>
  <c r="D486" i="6" s="1"/>
  <c r="W32" i="1"/>
  <c r="D373" i="6" s="1"/>
  <c r="V18" i="1"/>
  <c r="D106" i="6" s="1"/>
  <c r="U18" i="1"/>
  <c r="D105" i="6" s="1"/>
  <c r="O22" i="1"/>
  <c r="S22" i="1" s="1"/>
  <c r="B186" i="6" s="1"/>
  <c r="E50" i="1"/>
  <c r="O17" i="1"/>
  <c r="S17" i="1" s="1"/>
  <c r="B91" i="6" s="1"/>
  <c r="O30" i="1"/>
  <c r="S30" i="1" s="1"/>
  <c r="B338" i="6" s="1"/>
  <c r="O40" i="1"/>
  <c r="S40" i="1" s="1"/>
  <c r="B528" i="6" s="1"/>
  <c r="O42" i="1"/>
  <c r="S42" i="1" s="1"/>
  <c r="B566" i="6" s="1"/>
  <c r="O19" i="1"/>
  <c r="S19" i="1" s="1"/>
  <c r="B129" i="6" s="1"/>
  <c r="O21" i="1"/>
  <c r="S21" i="1" s="1"/>
  <c r="B167" i="6" s="1"/>
  <c r="O29" i="1"/>
  <c r="S29" i="1" s="1"/>
  <c r="B319" i="6" s="1"/>
  <c r="O31" i="1"/>
  <c r="S31" i="1" s="1"/>
  <c r="B357" i="6" s="1"/>
  <c r="O35" i="1"/>
  <c r="S35" i="1" s="1"/>
  <c r="B433" i="6" s="1"/>
  <c r="O14" i="1"/>
  <c r="S14" i="1" s="1"/>
  <c r="B34" i="6" s="1"/>
  <c r="W22" i="1"/>
  <c r="D183" i="6" s="1"/>
  <c r="O27" i="1"/>
  <c r="S27" i="1" s="1"/>
  <c r="B281" i="6" s="1"/>
  <c r="S37" i="1"/>
  <c r="B471" i="6" s="1"/>
  <c r="W34" i="1"/>
  <c r="D411" i="6" s="1"/>
  <c r="E47" i="1"/>
  <c r="X13" i="1"/>
  <c r="H51" i="1" s="1"/>
  <c r="O15" i="1"/>
  <c r="S15" i="1" s="1"/>
  <c r="B53" i="6" s="1"/>
  <c r="O28" i="1"/>
  <c r="S28" i="1" s="1"/>
  <c r="B300" i="6" s="1"/>
  <c r="O24" i="1"/>
  <c r="S24" i="1" s="1"/>
  <c r="O25" i="1"/>
  <c r="S25" i="1" s="1"/>
  <c r="B243" i="6" s="1"/>
  <c r="O13" i="1"/>
  <c r="E49" i="1"/>
  <c r="O23" i="1"/>
  <c r="S23" i="1" s="1"/>
  <c r="B205" i="6" s="1"/>
  <c r="U38" i="1" l="1"/>
  <c r="D485" i="6" s="1"/>
  <c r="B490" i="6"/>
  <c r="V32" i="1"/>
  <c r="D372" i="6" s="1"/>
  <c r="B376" i="6"/>
  <c r="W24" i="1"/>
  <c r="D221" i="6" s="1"/>
  <c r="B224" i="6"/>
  <c r="W38" i="1"/>
  <c r="D487" i="6" s="1"/>
  <c r="T32" i="1"/>
  <c r="D370" i="6" s="1"/>
  <c r="W20" i="1"/>
  <c r="D145" i="6" s="1"/>
  <c r="T33" i="1"/>
  <c r="D389" i="6" s="1"/>
  <c r="W33" i="1"/>
  <c r="D392" i="6" s="1"/>
  <c r="T20" i="1"/>
  <c r="D142" i="6" s="1"/>
  <c r="W39" i="1"/>
  <c r="D506" i="6" s="1"/>
  <c r="T39" i="1"/>
  <c r="D503" i="6" s="1"/>
  <c r="T18" i="1"/>
  <c r="D104" i="6" s="1"/>
  <c r="B110" i="6"/>
  <c r="W18" i="1"/>
  <c r="D107" i="6" s="1"/>
  <c r="T38" i="1"/>
  <c r="Y33" i="1"/>
  <c r="Y39" i="1"/>
  <c r="U40" i="1"/>
  <c r="D523" i="6" s="1"/>
  <c r="V40" i="1"/>
  <c r="D524" i="6" s="1"/>
  <c r="T40" i="1"/>
  <c r="D522" i="6" s="1"/>
  <c r="W40" i="1"/>
  <c r="D525" i="6" s="1"/>
  <c r="V27" i="1"/>
  <c r="D277" i="6" s="1"/>
  <c r="T27" i="1"/>
  <c r="D275" i="6" s="1"/>
  <c r="U27" i="1"/>
  <c r="D276" i="6" s="1"/>
  <c r="U19" i="1"/>
  <c r="D124" i="6" s="1"/>
  <c r="V19" i="1"/>
  <c r="D125" i="6" s="1"/>
  <c r="T19" i="1"/>
  <c r="D123" i="6" s="1"/>
  <c r="W19" i="1"/>
  <c r="D126" i="6" s="1"/>
  <c r="U42" i="1"/>
  <c r="D561" i="6" s="1"/>
  <c r="V42" i="1"/>
  <c r="D562" i="6" s="1"/>
  <c r="T42" i="1"/>
  <c r="D560" i="6" s="1"/>
  <c r="W42" i="1"/>
  <c r="D563" i="6" s="1"/>
  <c r="U28" i="1"/>
  <c r="D295" i="6" s="1"/>
  <c r="V28" i="1"/>
  <c r="D296" i="6" s="1"/>
  <c r="T28" i="1"/>
  <c r="D294" i="6" s="1"/>
  <c r="W28" i="1"/>
  <c r="D297" i="6" s="1"/>
  <c r="V35" i="1"/>
  <c r="D429" i="6" s="1"/>
  <c r="T35" i="1"/>
  <c r="D427" i="6" s="1"/>
  <c r="U35" i="1"/>
  <c r="D428" i="6" s="1"/>
  <c r="W35" i="1"/>
  <c r="D430" i="6" s="1"/>
  <c r="W29" i="1"/>
  <c r="D316" i="6" s="1"/>
  <c r="V29" i="1"/>
  <c r="D315" i="6" s="1"/>
  <c r="T29" i="1"/>
  <c r="D313" i="6" s="1"/>
  <c r="U29" i="1"/>
  <c r="D314" i="6" s="1"/>
  <c r="V22" i="1"/>
  <c r="D182" i="6" s="1"/>
  <c r="T22" i="1"/>
  <c r="D180" i="6" s="1"/>
  <c r="U22" i="1"/>
  <c r="D181" i="6" s="1"/>
  <c r="V41" i="1"/>
  <c r="D543" i="6" s="1"/>
  <c r="T41" i="1"/>
  <c r="D541" i="6" s="1"/>
  <c r="U41" i="1"/>
  <c r="D542" i="6" s="1"/>
  <c r="W41" i="1"/>
  <c r="D544" i="6" s="1"/>
  <c r="U34" i="1"/>
  <c r="D409" i="6" s="1"/>
  <c r="V34" i="1"/>
  <c r="D410" i="6" s="1"/>
  <c r="T34" i="1"/>
  <c r="D408" i="6" s="1"/>
  <c r="U26" i="1"/>
  <c r="D257" i="6" s="1"/>
  <c r="V26" i="1"/>
  <c r="D258" i="6" s="1"/>
  <c r="T26" i="1"/>
  <c r="D256" i="6" s="1"/>
  <c r="W26" i="1"/>
  <c r="D259" i="6" s="1"/>
  <c r="Y20" i="1"/>
  <c r="U23" i="1"/>
  <c r="D200" i="6" s="1"/>
  <c r="V23" i="1"/>
  <c r="D201" i="6" s="1"/>
  <c r="T23" i="1"/>
  <c r="D199" i="6" s="1"/>
  <c r="W23" i="1"/>
  <c r="D202" i="6" s="1"/>
  <c r="V24" i="1"/>
  <c r="D220" i="6" s="1"/>
  <c r="T24" i="1"/>
  <c r="D218" i="6" s="1"/>
  <c r="U24" i="1"/>
  <c r="D219" i="6" s="1"/>
  <c r="U15" i="1"/>
  <c r="D48" i="6" s="1"/>
  <c r="V15" i="1"/>
  <c r="D49" i="6" s="1"/>
  <c r="T15" i="1"/>
  <c r="D47" i="6" s="1"/>
  <c r="W15" i="1"/>
  <c r="D50" i="6" s="1"/>
  <c r="V37" i="1"/>
  <c r="D467" i="6" s="1"/>
  <c r="T37" i="1"/>
  <c r="D465" i="6" s="1"/>
  <c r="U37" i="1"/>
  <c r="D466" i="6" s="1"/>
  <c r="W27" i="1"/>
  <c r="D278" i="6" s="1"/>
  <c r="V14" i="1"/>
  <c r="D30" i="6" s="1"/>
  <c r="T14" i="1"/>
  <c r="D28" i="6" s="1"/>
  <c r="U14" i="1"/>
  <c r="D29" i="6" s="1"/>
  <c r="W14" i="1"/>
  <c r="D31" i="6" s="1"/>
  <c r="V31" i="1"/>
  <c r="D353" i="6" s="1"/>
  <c r="T31" i="1"/>
  <c r="D351" i="6" s="1"/>
  <c r="U31" i="1"/>
  <c r="D352" i="6" s="1"/>
  <c r="W31" i="1"/>
  <c r="D354" i="6" s="1"/>
  <c r="W21" i="1"/>
  <c r="D164" i="6" s="1"/>
  <c r="U21" i="1"/>
  <c r="D162" i="6" s="1"/>
  <c r="V21" i="1"/>
  <c r="D163" i="6" s="1"/>
  <c r="T21" i="1"/>
  <c r="D161" i="6" s="1"/>
  <c r="U30" i="1"/>
  <c r="D333" i="6" s="1"/>
  <c r="V30" i="1"/>
  <c r="D334" i="6" s="1"/>
  <c r="T30" i="1"/>
  <c r="D332" i="6" s="1"/>
  <c r="W30" i="1"/>
  <c r="D335" i="6" s="1"/>
  <c r="W17" i="1"/>
  <c r="D88" i="6" s="1"/>
  <c r="U17" i="1"/>
  <c r="D86" i="6" s="1"/>
  <c r="V17" i="1"/>
  <c r="D87" i="6" s="1"/>
  <c r="T17" i="1"/>
  <c r="D85" i="6" s="1"/>
  <c r="Y18" i="1"/>
  <c r="U36" i="1"/>
  <c r="D447" i="6" s="1"/>
  <c r="V36" i="1"/>
  <c r="D448" i="6" s="1"/>
  <c r="T36" i="1"/>
  <c r="D446" i="6" s="1"/>
  <c r="W36" i="1"/>
  <c r="D449" i="6" s="1"/>
  <c r="Y32" i="1"/>
  <c r="V16" i="1"/>
  <c r="D68" i="6" s="1"/>
  <c r="T16" i="1"/>
  <c r="D66" i="6" s="1"/>
  <c r="U16" i="1"/>
  <c r="D67" i="6" s="1"/>
  <c r="W16" i="1"/>
  <c r="D69" i="6" s="1"/>
  <c r="W25" i="1"/>
  <c r="D240" i="6" s="1"/>
  <c r="T25" i="1"/>
  <c r="D237" i="6" s="1"/>
  <c r="V25" i="1"/>
  <c r="D239" i="6" s="1"/>
  <c r="U25" i="1"/>
  <c r="D238" i="6" s="1"/>
  <c r="Y34" i="1"/>
  <c r="W37" i="1"/>
  <c r="D468" i="6" s="1"/>
  <c r="S13" i="1"/>
  <c r="B15" i="6" s="1"/>
  <c r="E51" i="1"/>
  <c r="E48" i="1"/>
  <c r="Z34" i="1" l="1"/>
  <c r="D417" i="6" s="1"/>
  <c r="D414" i="6"/>
  <c r="Z18" i="1"/>
  <c r="D113" i="6" s="1"/>
  <c r="D110" i="6"/>
  <c r="Z20" i="1"/>
  <c r="D151" i="6" s="1"/>
  <c r="D148" i="6"/>
  <c r="Z39" i="1"/>
  <c r="D512" i="6" s="1"/>
  <c r="D509" i="6"/>
  <c r="Y38" i="1"/>
  <c r="D484" i="6"/>
  <c r="Z32" i="1"/>
  <c r="D379" i="6" s="1"/>
  <c r="D376" i="6"/>
  <c r="Z33" i="1"/>
  <c r="D398" i="6" s="1"/>
  <c r="D395" i="6"/>
  <c r="Y24" i="1"/>
  <c r="T13" i="1"/>
  <c r="D9" i="6" s="1"/>
  <c r="V13" i="1"/>
  <c r="D11" i="6" s="1"/>
  <c r="U13" i="1"/>
  <c r="D10" i="6" s="1"/>
  <c r="Y30" i="1"/>
  <c r="Y15" i="1"/>
  <c r="Y26" i="1"/>
  <c r="Y29" i="1"/>
  <c r="Y28" i="1"/>
  <c r="Y42" i="1"/>
  <c r="Y19" i="1"/>
  <c r="Y27" i="1"/>
  <c r="Y41" i="1"/>
  <c r="Y16" i="1"/>
  <c r="Y36" i="1"/>
  <c r="Y17" i="1"/>
  <c r="Y21" i="1"/>
  <c r="Y31" i="1"/>
  <c r="Y14" i="1"/>
  <c r="Y23" i="1"/>
  <c r="Y22" i="1"/>
  <c r="Y35" i="1"/>
  <c r="Y40" i="1"/>
  <c r="Y25" i="1"/>
  <c r="Y37" i="1"/>
  <c r="H48" i="1"/>
  <c r="W13" i="1"/>
  <c r="E52" i="1"/>
  <c r="H49" i="1"/>
  <c r="Z17" i="1" l="1"/>
  <c r="D94" i="6" s="1"/>
  <c r="D91" i="6"/>
  <c r="Z25" i="1"/>
  <c r="D246" i="6" s="1"/>
  <c r="D243" i="6"/>
  <c r="Z35" i="1"/>
  <c r="D436" i="6" s="1"/>
  <c r="D433" i="6"/>
  <c r="Z23" i="1"/>
  <c r="D208" i="6" s="1"/>
  <c r="D205" i="6"/>
  <c r="Z31" i="1"/>
  <c r="D360" i="6" s="1"/>
  <c r="D357" i="6"/>
  <c r="Z16" i="1"/>
  <c r="D75" i="6" s="1"/>
  <c r="D72" i="6"/>
  <c r="Z27" i="1"/>
  <c r="D284" i="6" s="1"/>
  <c r="D281" i="6"/>
  <c r="Z42" i="1"/>
  <c r="D569" i="6" s="1"/>
  <c r="D566" i="6"/>
  <c r="Z29" i="1"/>
  <c r="D322" i="6" s="1"/>
  <c r="D319" i="6"/>
  <c r="Z15" i="1"/>
  <c r="D56" i="6" s="1"/>
  <c r="D53" i="6"/>
  <c r="Z37" i="1"/>
  <c r="D474" i="6" s="1"/>
  <c r="D471" i="6"/>
  <c r="Z40" i="1"/>
  <c r="D531" i="6" s="1"/>
  <c r="D528" i="6"/>
  <c r="Z22" i="1"/>
  <c r="D189" i="6" s="1"/>
  <c r="D186" i="6"/>
  <c r="Z14" i="1"/>
  <c r="D37" i="6" s="1"/>
  <c r="D34" i="6"/>
  <c r="Z21" i="1"/>
  <c r="D170" i="6" s="1"/>
  <c r="D167" i="6"/>
  <c r="Z36" i="1"/>
  <c r="D455" i="6" s="1"/>
  <c r="D452" i="6"/>
  <c r="Z41" i="1"/>
  <c r="D550" i="6" s="1"/>
  <c r="D547" i="6"/>
  <c r="Z19" i="1"/>
  <c r="D132" i="6" s="1"/>
  <c r="D129" i="6"/>
  <c r="Z28" i="1"/>
  <c r="D303" i="6" s="1"/>
  <c r="D300" i="6"/>
  <c r="Z26" i="1"/>
  <c r="D265" i="6" s="1"/>
  <c r="D262" i="6"/>
  <c r="Z30" i="1"/>
  <c r="D341" i="6" s="1"/>
  <c r="D338" i="6"/>
  <c r="Z24" i="1"/>
  <c r="D227" i="6" s="1"/>
  <c r="D224" i="6"/>
  <c r="Z38" i="1"/>
  <c r="D493" i="6" s="1"/>
  <c r="D490" i="6"/>
  <c r="H50" i="1"/>
  <c r="D12" i="6"/>
  <c r="L51" i="1"/>
  <c r="L49" i="1"/>
  <c r="L47" i="1"/>
  <c r="L50" i="1"/>
  <c r="L48" i="1"/>
  <c r="L46" i="1"/>
  <c r="L45" i="1"/>
  <c r="Y13" i="1"/>
  <c r="H47" i="1"/>
  <c r="H52" i="1" s="1"/>
  <c r="F54" i="1" s="1"/>
  <c r="Z13" i="1" l="1"/>
  <c r="D18" i="6" s="1"/>
  <c r="D15" i="6"/>
  <c r="K52" i="1"/>
</calcChain>
</file>

<file path=xl/sharedStrings.xml><?xml version="1.0" encoding="utf-8"?>
<sst xmlns="http://schemas.openxmlformats.org/spreadsheetml/2006/main" count="820" uniqueCount="182">
  <si>
    <t>Codigo del 
Empleado</t>
  </si>
  <si>
    <t>Nombre del Empleado</t>
  </si>
  <si>
    <t>Cargo del Empleado</t>
  </si>
  <si>
    <t>Salario Basico</t>
  </si>
  <si>
    <t>Salario Diario</t>
  </si>
  <si>
    <t>0001</t>
  </si>
  <si>
    <t>Ospina Borja Pedro Nel</t>
  </si>
  <si>
    <t>Digitador</t>
  </si>
  <si>
    <t>0002</t>
  </si>
  <si>
    <t>Andrés Felipe Ramírez</t>
  </si>
  <si>
    <t>Vendedor</t>
  </si>
  <si>
    <t>0003</t>
  </si>
  <si>
    <t>Ángela María Hernández</t>
  </si>
  <si>
    <t>Auxiliar Contable</t>
  </si>
  <si>
    <t>0004</t>
  </si>
  <si>
    <t>Camilo Ceballos</t>
  </si>
  <si>
    <t>Operario</t>
  </si>
  <si>
    <t>0005</t>
  </si>
  <si>
    <t>Carlos Andrés Giraldo</t>
  </si>
  <si>
    <t>Secretaria</t>
  </si>
  <si>
    <t>0006</t>
  </si>
  <si>
    <t>Carlos Mario Quiroz</t>
  </si>
  <si>
    <t>0007</t>
  </si>
  <si>
    <t>Carolina Rodríguez</t>
  </si>
  <si>
    <t>Aseadora</t>
  </si>
  <si>
    <t>0008</t>
  </si>
  <si>
    <t>Claudia González</t>
  </si>
  <si>
    <t>0009</t>
  </si>
  <si>
    <t>Diana López</t>
  </si>
  <si>
    <t>0010</t>
  </si>
  <si>
    <t>Didier Alejandro Sánchez</t>
  </si>
  <si>
    <t>0011</t>
  </si>
  <si>
    <t>Dora Luz Montoya</t>
  </si>
  <si>
    <t>0012</t>
  </si>
  <si>
    <t>Doralba Galeano</t>
  </si>
  <si>
    <t>Operaria</t>
  </si>
  <si>
    <t>0013</t>
  </si>
  <si>
    <t>Eliana Marcela Aguirre</t>
  </si>
  <si>
    <t>Gerente</t>
  </si>
  <si>
    <t>0014</t>
  </si>
  <si>
    <t>Francy Ruby Román</t>
  </si>
  <si>
    <t>0015</t>
  </si>
  <si>
    <t>Hernán Darío Hernández</t>
  </si>
  <si>
    <t>0016</t>
  </si>
  <si>
    <t>Leidy Maritza Herrera</t>
  </si>
  <si>
    <t>0017</t>
  </si>
  <si>
    <t>Leidy Rosalía Galvis</t>
  </si>
  <si>
    <t>0018</t>
  </si>
  <si>
    <t>Luis Fernando Vanegas</t>
  </si>
  <si>
    <t>0019</t>
  </si>
  <si>
    <t>Liliana Ríos</t>
  </si>
  <si>
    <t>0020</t>
  </si>
  <si>
    <t>Luz Enith Betancur</t>
  </si>
  <si>
    <t>0021</t>
  </si>
  <si>
    <t>Maricela López</t>
  </si>
  <si>
    <t>0022</t>
  </si>
  <si>
    <t>Martha Deisy Ceballos</t>
  </si>
  <si>
    <t>Digitadora</t>
  </si>
  <si>
    <t>0023</t>
  </si>
  <si>
    <t>Mauricio Alzate</t>
  </si>
  <si>
    <t>0024</t>
  </si>
  <si>
    <t>Mónica Yurany Giraldo</t>
  </si>
  <si>
    <t>0025</t>
  </si>
  <si>
    <t>Nayibet Galvis</t>
  </si>
  <si>
    <t>0026</t>
  </si>
  <si>
    <t>Patricia Rodriguez</t>
  </si>
  <si>
    <t>0027</t>
  </si>
  <si>
    <t>Sandra Marcela Rojas</t>
  </si>
  <si>
    <t>0028</t>
  </si>
  <si>
    <t>Yeisón Fernando García</t>
  </si>
  <si>
    <t>0029</t>
  </si>
  <si>
    <t>Yohiner Tangarife</t>
  </si>
  <si>
    <t>0030</t>
  </si>
  <si>
    <t>Yuliana Cardona</t>
  </si>
  <si>
    <t>NÓMINA PARA EL PAGO DE SUELDOS</t>
  </si>
  <si>
    <t xml:space="preserve">PERIODO DE PAGO DEL________01_____________ </t>
  </si>
  <si>
    <t>AL_______________31 DE OCTUBRE_______________________________________________</t>
  </si>
  <si>
    <t>CODIGO</t>
  </si>
  <si>
    <t xml:space="preserve">NOMBRE </t>
  </si>
  <si>
    <t>CARGO</t>
  </si>
  <si>
    <t>NÚMERO</t>
  </si>
  <si>
    <t>BÁSICO</t>
  </si>
  <si>
    <t xml:space="preserve">BÁSICO </t>
  </si>
  <si>
    <t>DEVENGADOS</t>
  </si>
  <si>
    <t>TOTAL
DEVENGADO</t>
  </si>
  <si>
    <t>DEDUCCIONES</t>
  </si>
  <si>
    <t>TOTAL
DEDUCCIONES</t>
  </si>
  <si>
    <t>NETO PAGADO</t>
  </si>
  <si>
    <t>DEL</t>
  </si>
  <si>
    <t xml:space="preserve">DEL </t>
  </si>
  <si>
    <t xml:space="preserve">DE </t>
  </si>
  <si>
    <t>NÚMERO DE HORAS EXTRAS</t>
  </si>
  <si>
    <t>VALOR HORAS EXTRAS</t>
  </si>
  <si>
    <t>TOTAL</t>
  </si>
  <si>
    <t>AUX.</t>
  </si>
  <si>
    <t>VALOR</t>
  </si>
  <si>
    <t>APORTES</t>
  </si>
  <si>
    <t>EMPLEADO</t>
  </si>
  <si>
    <t>DÍAS</t>
  </si>
  <si>
    <t>DIARIO</t>
  </si>
  <si>
    <t>MENSUAL</t>
  </si>
  <si>
    <t>DIURNA</t>
  </si>
  <si>
    <t>NOCTURNA</t>
  </si>
  <si>
    <t>FESTIVA  DIURNA</t>
  </si>
  <si>
    <t>FESTIVA  NOCTURNA</t>
  </si>
  <si>
    <t>NOCT.</t>
  </si>
  <si>
    <t>H.EX.F.D</t>
  </si>
  <si>
    <t>H.EX.F.N.</t>
  </si>
  <si>
    <t>EXTRAS</t>
  </si>
  <si>
    <t>TRANSP.</t>
  </si>
  <si>
    <t>COMISION</t>
  </si>
  <si>
    <t>BONF.</t>
  </si>
  <si>
    <t>EPS</t>
  </si>
  <si>
    <t>FP</t>
  </si>
  <si>
    <t>FS</t>
  </si>
  <si>
    <t>COOPERATIVA</t>
  </si>
  <si>
    <t>SINDICATO</t>
  </si>
  <si>
    <t>TOTALES</t>
  </si>
  <si>
    <t>APROPIACIONES</t>
  </si>
  <si>
    <t>%</t>
  </si>
  <si>
    <t>DATOS BÁSICOS PARA LIQUIDAR LA NÓMINA</t>
  </si>
  <si>
    <t>OSERVACIONES</t>
  </si>
  <si>
    <t>SALARIO MINIMO</t>
  </si>
  <si>
    <t>DATOS HORAS EXTRAS</t>
  </si>
  <si>
    <t>BÁSICOMENSUAL</t>
  </si>
  <si>
    <t>CESANTIAS</t>
  </si>
  <si>
    <t>TRANSPORTE</t>
  </si>
  <si>
    <t>Extra Diurna</t>
  </si>
  <si>
    <t>PRIMAS</t>
  </si>
  <si>
    <t>% EPS EMPLEADO</t>
  </si>
  <si>
    <t>Extra Nocturna</t>
  </si>
  <si>
    <t>VACACIONES</t>
  </si>
  <si>
    <t>% FP EMPLEADO</t>
  </si>
  <si>
    <t>Extra Festiva Duirna</t>
  </si>
  <si>
    <t>COMISIÓN</t>
  </si>
  <si>
    <t>SENA</t>
  </si>
  <si>
    <t>% FS</t>
  </si>
  <si>
    <t>Extra Festiva Nocturna</t>
  </si>
  <si>
    <t>BONIFICACIÓN</t>
  </si>
  <si>
    <t>ICBF</t>
  </si>
  <si>
    <t>VENTAS DEL MES</t>
  </si>
  <si>
    <t>TOTAL DEVENGADO</t>
  </si>
  <si>
    <t>TOTAL DEDUCIDO</t>
  </si>
  <si>
    <t>TOTAL APROPIACIONES</t>
  </si>
  <si>
    <t>% COMISIÓN</t>
  </si>
  <si>
    <t>% COOPERATIVA</t>
  </si>
  <si>
    <t>TOTAL NETO PAGADO</t>
  </si>
  <si>
    <t>NÚMERO CHEQUE</t>
  </si>
  <si>
    <t>0001-256548-454652</t>
  </si>
  <si>
    <t>% SINDICATO</t>
  </si>
  <si>
    <t>BANCO</t>
  </si>
  <si>
    <t>BANCOLOMBIA</t>
  </si>
  <si>
    <t>% BONIFICACIÓN</t>
  </si>
  <si>
    <t>COLILLA DE PAGO</t>
  </si>
  <si>
    <t>LEONISA INTERNACIONAL</t>
  </si>
  <si>
    <t>CODIGO DEL EMPLEADO</t>
  </si>
  <si>
    <t>NOMBRE DEL EMPLEADO</t>
  </si>
  <si>
    <t>BÁSICO MENSUAL</t>
  </si>
  <si>
    <t xml:space="preserve"> EPS</t>
  </si>
  <si>
    <t>TOTAL EXTRAS</t>
  </si>
  <si>
    <t xml:space="preserve"> FP</t>
  </si>
  <si>
    <t xml:space="preserve"> TRANSPORTE</t>
  </si>
  <si>
    <t xml:space="preserve"> FS</t>
  </si>
  <si>
    <t xml:space="preserve"> COMISIÓN</t>
  </si>
  <si>
    <t xml:space="preserve"> COOPERATIVA</t>
  </si>
  <si>
    <t xml:space="preserve"> BONIFICACIÓN</t>
  </si>
  <si>
    <t xml:space="preserve"> SINDICATO</t>
  </si>
  <si>
    <t xml:space="preserve"> DEVENGADO</t>
  </si>
  <si>
    <t xml:space="preserve"> DEDUCCIONES</t>
  </si>
  <si>
    <t>Ley 1607 del 2012, art.25</t>
  </si>
  <si>
    <t>Quedan exonerados de aportes a ICBF Y SENA</t>
  </si>
  <si>
    <t>Se actualizo el salario minimo, auxilio de transporte, porcentajes de aportes</t>
  </si>
  <si>
    <t>de seguridad social y algunas bases o condiciones para realizar el</t>
  </si>
  <si>
    <t>ejercicio.</t>
  </si>
  <si>
    <t>PAGO DEL 1 AL 31 DE OCTUBRE</t>
  </si>
  <si>
    <t>CONDICION</t>
  </si>
  <si>
    <t>5,4,2,1 horas</t>
  </si>
  <si>
    <t>0 horas</t>
  </si>
  <si>
    <t>BONIFICACION</t>
  </si>
  <si>
    <t>APORTE COOPERATIVA</t>
  </si>
  <si>
    <t>APORTE SINDICATO</t>
  </si>
  <si>
    <t>AUX.TRANSPORTE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</si>
</sst>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6" formatCode="&quot;$&quot;\ #,##0_);[Red]\(&quot;$&quot;\ #,##0\)"/>
    <numFmt numFmtId="164" formatCode="_(&quot;$&quot;* #,##0.00_);_(&quot;$&quot;* \(#,##0.00\);_(&quot;$&quot;* &quot;-&quot;??_);_(@_)"/>
    <numFmt numFmtId="165" formatCode="0.0%"/>
    <numFmt numFmtId="166" formatCode="_(&quot;$&quot;* #,##0_);_(&quot;$&quot;* \(#,##0\);_(&quot;$&quot;* &quot;-&quot;??_);_(@_)"/>
    <numFmt numFmtId="167" formatCode="0.000%"/>
    <numFmt numFmtId="168" formatCode="_(&quot;$&quot;\ * #,##0_);_(&quot;$&quot;\ * \(#,##0\);_(&quot;$&quot;\ * &quot;-&quot;??_);_(@_)"/>
    <numFmt numFmtId="169" formatCode="&quot;$&quot;\ #,##0.000_);[Red]\(&quot;$&quot;\ #,##0.000\)"/>
  </numFmts>
  <fonts count="29" x14ac:knownFonts="1">
    <font>
      <sz val="10"/>
      <name val="Arial"/>
    </font>
    <font>
      <sz val="10"/>
      <name val="Arial"/>
    </font>
    <font>
      <sz val="8"/>
      <name val="Times New Roman"/>
      <family val="1"/>
    </font>
    <font>
      <b/>
      <sz val="8"/>
      <name val="Times New Roman"/>
      <family val="1"/>
    </font>
    <font>
      <b/>
      <sz val="14"/>
      <name val="Verdana"/>
      <family val="2"/>
    </font>
    <font>
      <b/>
      <sz val="8"/>
      <name val="Verdana"/>
      <family val="2"/>
    </font>
    <font>
      <sz val="10"/>
      <name val="Tahoma"/>
      <family val="2"/>
    </font>
    <font>
      <b/>
      <sz val="10"/>
      <name val="Tahoma"/>
      <family val="2"/>
    </font>
    <font>
      <sz val="14"/>
      <name val="Tahoma"/>
      <family val="2"/>
    </font>
    <font>
      <b/>
      <sz val="14"/>
      <name val="Tahoma"/>
      <family val="2"/>
    </font>
    <font>
      <sz val="12"/>
      <name val="Tahoma"/>
      <family val="2"/>
    </font>
    <font>
      <b/>
      <sz val="12"/>
      <color indexed="18"/>
      <name val="Tahoma"/>
      <family val="2"/>
    </font>
    <font>
      <sz val="10"/>
      <color indexed="21"/>
      <name val="Tahoma"/>
      <family val="2"/>
    </font>
    <font>
      <b/>
      <sz val="14"/>
      <color indexed="10"/>
      <name val="Tahoma"/>
      <family val="2"/>
    </font>
    <font>
      <b/>
      <sz val="12"/>
      <name val="Tahoma"/>
      <family val="2"/>
    </font>
    <font>
      <b/>
      <sz val="10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20"/>
      <color rgb="FF7030A0"/>
      <name val="Arial"/>
      <family val="2"/>
    </font>
    <font>
      <b/>
      <sz val="20"/>
      <color rgb="FF7030A0"/>
      <name val="Arial"/>
      <family val="2"/>
    </font>
    <font>
      <sz val="10"/>
      <color rgb="FF7030A0"/>
      <name val="Arial"/>
      <family val="2"/>
    </font>
    <font>
      <sz val="18"/>
      <color theme="9" tint="-0.499984740745262"/>
      <name val="Arial"/>
      <family val="2"/>
    </font>
    <font>
      <b/>
      <sz val="20"/>
      <color theme="9" tint="-0.499984740745262"/>
      <name val="Arial"/>
      <family val="2"/>
    </font>
    <font>
      <sz val="20"/>
      <color theme="9" tint="-0.499984740745262"/>
      <name val="Arial"/>
      <family val="2"/>
    </font>
    <font>
      <sz val="10"/>
      <color theme="1" tint="0.34998626667073579"/>
      <name val="Arial"/>
      <family val="2"/>
    </font>
    <font>
      <sz val="10"/>
      <color theme="9" tint="-0.499984740745262"/>
      <name val="Arial"/>
      <family val="2"/>
    </font>
    <font>
      <b/>
      <sz val="12"/>
      <color theme="5"/>
      <name val="Tahoma"/>
      <family val="2"/>
    </font>
    <font>
      <sz val="10"/>
      <color theme="5"/>
      <name val="Tahoma"/>
      <family val="2"/>
    </font>
    <font>
      <sz val="10"/>
      <color theme="1"/>
      <name val="Tahoma"/>
      <family val="2"/>
    </font>
  </fonts>
  <fills count="19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895CE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7171"/>
        <bgColor indexed="64"/>
      </patternFill>
    </fill>
  </fills>
  <borders count="56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12"/>
      </right>
      <top style="thick">
        <color indexed="64"/>
      </top>
      <bottom style="thick">
        <color indexed="64"/>
      </bottom>
      <diagonal/>
    </border>
    <border>
      <left style="medium">
        <color indexed="12"/>
      </left>
      <right style="medium">
        <color indexed="12"/>
      </right>
      <top style="thick">
        <color indexed="64"/>
      </top>
      <bottom style="thick">
        <color indexed="64"/>
      </bottom>
      <diagonal/>
    </border>
    <border>
      <left style="medium">
        <color indexed="12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12"/>
      </right>
      <top/>
      <bottom/>
      <diagonal/>
    </border>
    <border>
      <left style="medium">
        <color indexed="12"/>
      </left>
      <right style="medium">
        <color indexed="12"/>
      </right>
      <top/>
      <bottom/>
      <diagonal/>
    </border>
    <border>
      <left style="medium">
        <color indexed="12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12"/>
      </right>
      <top style="thick">
        <color indexed="64"/>
      </top>
      <bottom style="medium">
        <color indexed="12"/>
      </bottom>
      <diagonal/>
    </border>
    <border>
      <left style="medium">
        <color indexed="12"/>
      </left>
      <right style="medium">
        <color indexed="12"/>
      </right>
      <top style="thick">
        <color indexed="64"/>
      </top>
      <bottom style="medium">
        <color indexed="12"/>
      </bottom>
      <diagonal/>
    </border>
    <border>
      <left style="medium">
        <color indexed="12"/>
      </left>
      <right style="thick">
        <color indexed="64"/>
      </right>
      <top style="thick">
        <color indexed="64"/>
      </top>
      <bottom style="medium">
        <color indexed="12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medium">
        <color indexed="12"/>
      </bottom>
      <diagonal/>
    </border>
    <border>
      <left style="thick">
        <color indexed="64"/>
      </left>
      <right style="medium">
        <color indexed="12"/>
      </right>
      <top style="medium">
        <color indexed="12"/>
      </top>
      <bottom style="thick">
        <color indexed="64"/>
      </bottom>
      <diagonal/>
    </border>
    <border>
      <left style="medium">
        <color indexed="12"/>
      </left>
      <right style="medium">
        <color indexed="12"/>
      </right>
      <top style="medium">
        <color indexed="12"/>
      </top>
      <bottom style="thick">
        <color indexed="64"/>
      </bottom>
      <diagonal/>
    </border>
    <border>
      <left style="medium">
        <color indexed="12"/>
      </left>
      <right style="thick">
        <color indexed="64"/>
      </right>
      <top style="medium">
        <color indexed="12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12"/>
      </top>
      <bottom style="thick">
        <color indexed="64"/>
      </bottom>
      <diagonal/>
    </border>
    <border>
      <left style="thick">
        <color indexed="64"/>
      </left>
      <right style="thin">
        <color indexed="12"/>
      </right>
      <top style="thick">
        <color indexed="64"/>
      </top>
      <bottom style="thick">
        <color indexed="64"/>
      </bottom>
      <diagonal/>
    </border>
    <border>
      <left style="thin">
        <color indexed="12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97">
    <xf numFmtId="0" fontId="0" fillId="0" borderId="0" xfId="0"/>
    <xf numFmtId="0" fontId="2" fillId="0" borderId="0" xfId="0" applyFont="1"/>
    <xf numFmtId="0" fontId="2" fillId="0" borderId="0" xfId="0" applyFont="1" applyBorder="1"/>
    <xf numFmtId="0" fontId="3" fillId="0" borderId="0" xfId="0" applyFont="1" applyBorder="1"/>
    <xf numFmtId="0" fontId="3" fillId="0" borderId="0" xfId="0" applyFont="1" applyBorder="1" applyAlignment="1">
      <alignment horizontal="right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3" fillId="0" borderId="4" xfId="0" applyFont="1" applyBorder="1"/>
    <xf numFmtId="0" fontId="3" fillId="0" borderId="4" xfId="0" applyFont="1" applyBorder="1" applyAlignment="1">
      <alignment horizontal="right"/>
    </xf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49" fontId="2" fillId="0" borderId="9" xfId="0" applyNumberFormat="1" applyFont="1" applyBorder="1" applyAlignment="1">
      <alignment horizontal="center"/>
    </xf>
    <xf numFmtId="0" fontId="2" fillId="0" borderId="9" xfId="0" applyFont="1" applyBorder="1" applyAlignment="1">
      <alignment horizontal="left"/>
    </xf>
    <xf numFmtId="0" fontId="2" fillId="0" borderId="9" xfId="0" applyFont="1" applyBorder="1"/>
    <xf numFmtId="0" fontId="2" fillId="0" borderId="9" xfId="0" applyFont="1" applyBorder="1" applyAlignment="1">
      <alignment horizontal="center"/>
    </xf>
    <xf numFmtId="166" fontId="2" fillId="0" borderId="9" xfId="1" applyNumberFormat="1" applyFont="1" applyBorder="1"/>
    <xf numFmtId="166" fontId="2" fillId="0" borderId="9" xfId="0" applyNumberFormat="1" applyFont="1" applyBorder="1"/>
    <xf numFmtId="166" fontId="2" fillId="0" borderId="10" xfId="1" applyNumberFormat="1" applyFont="1" applyBorder="1"/>
    <xf numFmtId="0" fontId="6" fillId="0" borderId="0" xfId="0" applyFont="1"/>
    <xf numFmtId="49" fontId="6" fillId="0" borderId="11" xfId="0" applyNumberFormat="1" applyFont="1" applyBorder="1" applyAlignment="1">
      <alignment horizontal="center"/>
    </xf>
    <xf numFmtId="0" fontId="6" fillId="0" borderId="11" xfId="0" applyFont="1" applyBorder="1" applyAlignment="1">
      <alignment horizontal="left"/>
    </xf>
    <xf numFmtId="0" fontId="6" fillId="0" borderId="11" xfId="0" applyFont="1" applyBorder="1"/>
    <xf numFmtId="164" fontId="6" fillId="0" borderId="11" xfId="1" applyFont="1" applyBorder="1"/>
    <xf numFmtId="166" fontId="6" fillId="0" borderId="11" xfId="1" applyNumberFormat="1" applyFont="1" applyBorder="1"/>
    <xf numFmtId="49" fontId="6" fillId="0" borderId="12" xfId="0" applyNumberFormat="1" applyFont="1" applyBorder="1" applyAlignment="1">
      <alignment horizontal="center"/>
    </xf>
    <xf numFmtId="0" fontId="6" fillId="0" borderId="12" xfId="0" applyFont="1" applyBorder="1" applyAlignment="1">
      <alignment horizontal="left"/>
    </xf>
    <xf numFmtId="0" fontId="6" fillId="0" borderId="12" xfId="0" applyFont="1" applyBorder="1"/>
    <xf numFmtId="164" fontId="6" fillId="0" borderId="12" xfId="1" applyFont="1" applyBorder="1"/>
    <xf numFmtId="166" fontId="6" fillId="0" borderId="12" xfId="1" applyNumberFormat="1" applyFont="1" applyBorder="1"/>
    <xf numFmtId="164" fontId="6" fillId="0" borderId="0" xfId="1" applyFont="1"/>
    <xf numFmtId="0" fontId="11" fillId="2" borderId="13" xfId="0" applyFont="1" applyFill="1" applyBorder="1"/>
    <xf numFmtId="0" fontId="11" fillId="2" borderId="14" xfId="0" applyFont="1" applyFill="1" applyBorder="1"/>
    <xf numFmtId="1" fontId="12" fillId="0" borderId="0" xfId="0" applyNumberFormat="1" applyFont="1" applyBorder="1"/>
    <xf numFmtId="0" fontId="13" fillId="3" borderId="17" xfId="0" applyFont="1" applyFill="1" applyBorder="1"/>
    <xf numFmtId="0" fontId="2" fillId="0" borderId="28" xfId="0" applyFont="1" applyBorder="1" applyAlignment="1">
      <alignment horizontal="center"/>
    </xf>
    <xf numFmtId="166" fontId="2" fillId="0" borderId="29" xfId="1" applyNumberFormat="1" applyFont="1" applyBorder="1"/>
    <xf numFmtId="168" fontId="2" fillId="0" borderId="28" xfId="0" applyNumberFormat="1" applyFont="1" applyBorder="1" applyAlignment="1">
      <alignment horizontal="center"/>
    </xf>
    <xf numFmtId="168" fontId="2" fillId="0" borderId="9" xfId="0" applyNumberFormat="1" applyFont="1" applyBorder="1"/>
    <xf numFmtId="168" fontId="2" fillId="0" borderId="9" xfId="1" applyNumberFormat="1" applyFont="1" applyBorder="1"/>
    <xf numFmtId="168" fontId="2" fillId="0" borderId="40" xfId="1" applyNumberFormat="1" applyFont="1" applyBorder="1" applyAlignment="1">
      <alignment horizontal="left"/>
    </xf>
    <xf numFmtId="168" fontId="2" fillId="0" borderId="9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0" xfId="0" applyFont="1" applyAlignment="1">
      <alignment horizontal="center"/>
    </xf>
    <xf numFmtId="1" fontId="2" fillId="0" borderId="28" xfId="0" applyNumberFormat="1" applyFont="1" applyBorder="1" applyAlignment="1">
      <alignment horizontal="center"/>
    </xf>
    <xf numFmtId="166" fontId="2" fillId="0" borderId="25" xfId="1" applyNumberFormat="1" applyFont="1" applyBorder="1"/>
    <xf numFmtId="166" fontId="2" fillId="0" borderId="0" xfId="1" applyNumberFormat="1" applyFont="1" applyBorder="1"/>
    <xf numFmtId="166" fontId="2" fillId="0" borderId="25" xfId="0" applyNumberFormat="1" applyFont="1" applyBorder="1"/>
    <xf numFmtId="166" fontId="2" fillId="0" borderId="0" xfId="0" applyNumberFormat="1" applyFont="1" applyBorder="1"/>
    <xf numFmtId="166" fontId="2" fillId="0" borderId="5" xfId="0" applyNumberFormat="1" applyFont="1" applyBorder="1"/>
    <xf numFmtId="166" fontId="2" fillId="0" borderId="27" xfId="0" applyNumberFormat="1" applyFont="1" applyBorder="1"/>
    <xf numFmtId="166" fontId="2" fillId="0" borderId="7" xfId="1" applyNumberFormat="1" applyFont="1" applyBorder="1"/>
    <xf numFmtId="166" fontId="2" fillId="0" borderId="7" xfId="0" applyNumberFormat="1" applyFont="1" applyBorder="1"/>
    <xf numFmtId="166" fontId="2" fillId="0" borderId="8" xfId="0" applyNumberFormat="1" applyFont="1" applyBorder="1"/>
    <xf numFmtId="166" fontId="2" fillId="8" borderId="9" xfId="0" applyNumberFormat="1" applyFont="1" applyFill="1" applyBorder="1"/>
    <xf numFmtId="9" fontId="2" fillId="9" borderId="28" xfId="0" applyNumberFormat="1" applyFont="1" applyFill="1" applyBorder="1" applyAlignment="1">
      <alignment horizontal="center"/>
    </xf>
    <xf numFmtId="166" fontId="2" fillId="9" borderId="10" xfId="1" applyNumberFormat="1" applyFont="1" applyFill="1" applyBorder="1"/>
    <xf numFmtId="10" fontId="2" fillId="9" borderId="28" xfId="0" applyNumberFormat="1" applyFont="1" applyFill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17" fillId="0" borderId="4" xfId="0" applyFont="1" applyBorder="1"/>
    <xf numFmtId="0" fontId="2" fillId="0" borderId="4" xfId="0" applyFont="1" applyBorder="1" applyAlignment="1">
      <alignment horizontal="center"/>
    </xf>
    <xf numFmtId="166" fontId="2" fillId="0" borderId="0" xfId="1" applyNumberFormat="1" applyFont="1" applyBorder="1" applyAlignment="1">
      <alignment wrapText="1"/>
    </xf>
    <xf numFmtId="0" fontId="16" fillId="0" borderId="4" xfId="0" applyFont="1" applyBorder="1"/>
    <xf numFmtId="0" fontId="17" fillId="0" borderId="0" xfId="0" applyFont="1"/>
    <xf numFmtId="165" fontId="2" fillId="9" borderId="28" xfId="0" applyNumberFormat="1" applyFont="1" applyFill="1" applyBorder="1" applyAlignment="1">
      <alignment horizontal="center"/>
    </xf>
    <xf numFmtId="0" fontId="18" fillId="0" borderId="0" xfId="0" applyFont="1"/>
    <xf numFmtId="0" fontId="20" fillId="0" borderId="0" xfId="0" applyFont="1" applyAlignment="1">
      <alignment horizontal="center"/>
    </xf>
    <xf numFmtId="0" fontId="3" fillId="11" borderId="25" xfId="0" applyFont="1" applyFill="1" applyBorder="1" applyAlignment="1">
      <alignment horizontal="center" vertical="center" wrapText="1"/>
    </xf>
    <xf numFmtId="0" fontId="3" fillId="11" borderId="26" xfId="0" applyFont="1" applyFill="1" applyBorder="1" applyAlignment="1">
      <alignment horizontal="center" vertical="center" wrapText="1"/>
    </xf>
    <xf numFmtId="0" fontId="3" fillId="11" borderId="10" xfId="0" applyFont="1" applyFill="1" applyBorder="1" applyAlignment="1">
      <alignment horizontal="center" vertical="center"/>
    </xf>
    <xf numFmtId="166" fontId="3" fillId="14" borderId="10" xfId="0" applyNumberFormat="1" applyFont="1" applyFill="1" applyBorder="1"/>
    <xf numFmtId="166" fontId="3" fillId="12" borderId="41" xfId="0" applyNumberFormat="1" applyFont="1" applyFill="1" applyBorder="1" applyAlignment="1">
      <alignment horizontal="center"/>
    </xf>
    <xf numFmtId="0" fontId="15" fillId="15" borderId="28" xfId="0" applyFont="1" applyFill="1" applyBorder="1" applyAlignment="1">
      <alignment horizontal="center"/>
    </xf>
    <xf numFmtId="168" fontId="15" fillId="15" borderId="28" xfId="0" applyNumberFormat="1" applyFont="1" applyFill="1" applyBorder="1" applyAlignment="1">
      <alignment horizontal="center"/>
    </xf>
    <xf numFmtId="166" fontId="2" fillId="16" borderId="41" xfId="1" applyNumberFormat="1" applyFont="1" applyFill="1" applyBorder="1" applyAlignment="1"/>
    <xf numFmtId="166" fontId="2" fillId="16" borderId="42" xfId="1" applyNumberFormat="1" applyFont="1" applyFill="1" applyBorder="1" applyAlignment="1"/>
    <xf numFmtId="166" fontId="2" fillId="16" borderId="43" xfId="1" applyNumberFormat="1" applyFont="1" applyFill="1" applyBorder="1" applyAlignment="1"/>
    <xf numFmtId="1" fontId="3" fillId="16" borderId="10" xfId="0" applyNumberFormat="1" applyFont="1" applyFill="1" applyBorder="1"/>
    <xf numFmtId="0" fontId="3" fillId="16" borderId="10" xfId="0" applyFont="1" applyFill="1" applyBorder="1" applyAlignment="1">
      <alignment horizontal="center"/>
    </xf>
    <xf numFmtId="9" fontId="2" fillId="16" borderId="41" xfId="0" applyNumberFormat="1" applyFont="1" applyFill="1" applyBorder="1" applyAlignment="1"/>
    <xf numFmtId="0" fontId="2" fillId="16" borderId="42" xfId="0" applyFont="1" applyFill="1" applyBorder="1" applyAlignment="1"/>
    <xf numFmtId="9" fontId="2" fillId="16" borderId="43" xfId="0" applyNumberFormat="1" applyFont="1" applyFill="1" applyBorder="1" applyAlignment="1"/>
    <xf numFmtId="167" fontId="2" fillId="16" borderId="41" xfId="0" applyNumberFormat="1" applyFont="1" applyFill="1" applyBorder="1" applyAlignment="1"/>
    <xf numFmtId="167" fontId="2" fillId="16" borderId="42" xfId="0" applyNumberFormat="1" applyFont="1" applyFill="1" applyBorder="1" applyAlignment="1"/>
    <xf numFmtId="0" fontId="2" fillId="16" borderId="1" xfId="0" applyFont="1" applyFill="1" applyBorder="1"/>
    <xf numFmtId="0" fontId="2" fillId="16" borderId="3" xfId="0" applyFont="1" applyFill="1" applyBorder="1"/>
    <xf numFmtId="10" fontId="2" fillId="16" borderId="41" xfId="0" applyNumberFormat="1" applyFont="1" applyFill="1" applyBorder="1" applyAlignment="1"/>
    <xf numFmtId="10" fontId="2" fillId="16" borderId="42" xfId="0" applyNumberFormat="1" applyFont="1" applyFill="1" applyBorder="1" applyAlignment="1"/>
    <xf numFmtId="10" fontId="2" fillId="16" borderId="43" xfId="0" applyNumberFormat="1" applyFont="1" applyFill="1" applyBorder="1" applyAlignment="1"/>
    <xf numFmtId="0" fontId="2" fillId="16" borderId="4" xfId="0" applyFont="1" applyFill="1" applyBorder="1"/>
    <xf numFmtId="0" fontId="2" fillId="16" borderId="5" xfId="0" applyFont="1" applyFill="1" applyBorder="1"/>
    <xf numFmtId="9" fontId="2" fillId="16" borderId="10" xfId="0" applyNumberFormat="1" applyFont="1" applyFill="1" applyBorder="1" applyAlignment="1">
      <alignment horizontal="center"/>
    </xf>
    <xf numFmtId="165" fontId="2" fillId="16" borderId="10" xfId="2" applyNumberFormat="1" applyFont="1" applyFill="1" applyBorder="1" applyAlignment="1">
      <alignment horizontal="center"/>
    </xf>
    <xf numFmtId="165" fontId="2" fillId="16" borderId="10" xfId="0" applyNumberFormat="1" applyFont="1" applyFill="1" applyBorder="1" applyAlignment="1">
      <alignment horizontal="center"/>
    </xf>
    <xf numFmtId="10" fontId="2" fillId="16" borderId="41" xfId="0" applyNumberFormat="1" applyFont="1" applyFill="1" applyBorder="1" applyAlignment="1">
      <alignment horizontal="center"/>
    </xf>
    <xf numFmtId="10" fontId="2" fillId="16" borderId="10" xfId="0" applyNumberFormat="1" applyFont="1" applyFill="1" applyBorder="1" applyAlignment="1">
      <alignment horizontal="center"/>
    </xf>
    <xf numFmtId="0" fontId="2" fillId="16" borderId="10" xfId="0" applyFont="1" applyFill="1" applyBorder="1" applyAlignment="1"/>
    <xf numFmtId="0" fontId="2" fillId="16" borderId="6" xfId="0" applyFont="1" applyFill="1" applyBorder="1"/>
    <xf numFmtId="0" fontId="2" fillId="16" borderId="8" xfId="0" applyFont="1" applyFill="1" applyBorder="1"/>
    <xf numFmtId="0" fontId="3" fillId="17" borderId="25" xfId="0" applyFont="1" applyFill="1" applyBorder="1" applyAlignment="1">
      <alignment horizontal="center" vertical="center" wrapText="1"/>
    </xf>
    <xf numFmtId="0" fontId="3" fillId="17" borderId="27" xfId="0" applyFont="1" applyFill="1" applyBorder="1" applyAlignment="1">
      <alignment horizontal="center" vertical="center" wrapText="1"/>
    </xf>
    <xf numFmtId="0" fontId="3" fillId="17" borderId="5" xfId="0" applyFont="1" applyFill="1" applyBorder="1" applyAlignment="1">
      <alignment horizontal="center" vertical="center" wrapText="1"/>
    </xf>
    <xf numFmtId="0" fontId="3" fillId="17" borderId="26" xfId="0" applyFont="1" applyFill="1" applyBorder="1" applyAlignment="1">
      <alignment horizontal="center" vertical="center" wrapText="1"/>
    </xf>
    <xf numFmtId="0" fontId="3" fillId="17" borderId="10" xfId="0" applyFont="1" applyFill="1" applyBorder="1" applyAlignment="1">
      <alignment horizontal="center" vertical="center"/>
    </xf>
    <xf numFmtId="0" fontId="3" fillId="17" borderId="10" xfId="0" applyFont="1" applyFill="1" applyBorder="1" applyAlignment="1">
      <alignment horizontal="center" vertical="center" wrapText="1"/>
    </xf>
    <xf numFmtId="0" fontId="3" fillId="17" borderId="26" xfId="0" applyFont="1" applyFill="1" applyBorder="1" applyAlignment="1">
      <alignment horizontal="center" vertical="center"/>
    </xf>
    <xf numFmtId="10" fontId="3" fillId="17" borderId="26" xfId="0" applyNumberFormat="1" applyFont="1" applyFill="1" applyBorder="1" applyAlignment="1">
      <alignment horizontal="center" vertical="center" wrapText="1"/>
    </xf>
    <xf numFmtId="164" fontId="0" fillId="0" borderId="0" xfId="1" applyFont="1"/>
    <xf numFmtId="0" fontId="23" fillId="0" borderId="0" xfId="0" applyFont="1"/>
    <xf numFmtId="0" fontId="25" fillId="0" borderId="0" xfId="0" applyFont="1"/>
    <xf numFmtId="0" fontId="27" fillId="7" borderId="15" xfId="0" applyFont="1" applyFill="1" applyBorder="1"/>
    <xf numFmtId="0" fontId="26" fillId="7" borderId="16" xfId="0" applyFont="1" applyFill="1" applyBorder="1"/>
    <xf numFmtId="0" fontId="26" fillId="7" borderId="18" xfId="0" applyFont="1" applyFill="1" applyBorder="1"/>
    <xf numFmtId="166" fontId="27" fillId="7" borderId="55" xfId="1" applyNumberFormat="1" applyFont="1" applyFill="1" applyBorder="1"/>
    <xf numFmtId="0" fontId="26" fillId="7" borderId="17" xfId="0" applyFont="1" applyFill="1" applyBorder="1"/>
    <xf numFmtId="0" fontId="26" fillId="7" borderId="19" xfId="0" applyFont="1" applyFill="1" applyBorder="1"/>
    <xf numFmtId="0" fontId="26" fillId="7" borderId="20" xfId="0" applyFont="1" applyFill="1" applyBorder="1"/>
    <xf numFmtId="0" fontId="26" fillId="7" borderId="14" xfId="0" applyFont="1" applyFill="1" applyBorder="1"/>
    <xf numFmtId="0" fontId="27" fillId="7" borderId="20" xfId="0" applyFont="1" applyFill="1" applyBorder="1"/>
    <xf numFmtId="0" fontId="27" fillId="7" borderId="0" xfId="0" applyFont="1" applyFill="1" applyBorder="1"/>
    <xf numFmtId="0" fontId="26" fillId="7" borderId="13" xfId="0" applyFont="1" applyFill="1" applyBorder="1"/>
    <xf numFmtId="0" fontId="26" fillId="7" borderId="21" xfId="0" applyFont="1" applyFill="1" applyBorder="1"/>
    <xf numFmtId="1" fontId="27" fillId="7" borderId="0" xfId="0" applyNumberFormat="1" applyFont="1" applyFill="1" applyBorder="1"/>
    <xf numFmtId="0" fontId="27" fillId="7" borderId="22" xfId="0" applyFont="1" applyFill="1" applyBorder="1"/>
    <xf numFmtId="1" fontId="27" fillId="7" borderId="23" xfId="0" applyNumberFormat="1" applyFont="1" applyFill="1" applyBorder="1"/>
    <xf numFmtId="0" fontId="27" fillId="7" borderId="23" xfId="0" applyFont="1" applyFill="1" applyBorder="1"/>
    <xf numFmtId="0" fontId="27" fillId="7" borderId="24" xfId="0" applyFont="1" applyFill="1" applyBorder="1"/>
    <xf numFmtId="0" fontId="6" fillId="7" borderId="15" xfId="0" applyFont="1" applyFill="1" applyBorder="1"/>
    <xf numFmtId="0" fontId="11" fillId="7" borderId="16" xfId="0" applyFont="1" applyFill="1" applyBorder="1"/>
    <xf numFmtId="166" fontId="6" fillId="7" borderId="17" xfId="1" applyNumberFormat="1" applyFont="1" applyFill="1" applyBorder="1"/>
    <xf numFmtId="0" fontId="11" fillId="7" borderId="18" xfId="0" applyFont="1" applyFill="1" applyBorder="1"/>
    <xf numFmtId="166" fontId="6" fillId="7" borderId="54" xfId="1" applyNumberFormat="1" applyFont="1" applyFill="1" applyBorder="1"/>
    <xf numFmtId="166" fontId="6" fillId="7" borderId="55" xfId="1" applyNumberFormat="1" applyFont="1" applyFill="1" applyBorder="1"/>
    <xf numFmtId="0" fontId="11" fillId="7" borderId="17" xfId="0" applyFont="1" applyFill="1" applyBorder="1"/>
    <xf numFmtId="0" fontId="11" fillId="7" borderId="19" xfId="0" applyFont="1" applyFill="1" applyBorder="1"/>
    <xf numFmtId="0" fontId="11" fillId="7" borderId="20" xfId="0" applyFont="1" applyFill="1" applyBorder="1"/>
    <xf numFmtId="0" fontId="11" fillId="7" borderId="14" xfId="0" applyFont="1" applyFill="1" applyBorder="1"/>
    <xf numFmtId="0" fontId="6" fillId="7" borderId="20" xfId="0" applyFont="1" applyFill="1" applyBorder="1"/>
    <xf numFmtId="0" fontId="6" fillId="7" borderId="0" xfId="0" applyFont="1" applyFill="1" applyBorder="1"/>
    <xf numFmtId="0" fontId="11" fillId="7" borderId="13" xfId="0" applyFont="1" applyFill="1" applyBorder="1"/>
    <xf numFmtId="0" fontId="11" fillId="7" borderId="21" xfId="0" applyFont="1" applyFill="1" applyBorder="1"/>
    <xf numFmtId="1" fontId="12" fillId="7" borderId="0" xfId="0" applyNumberFormat="1" applyFont="1" applyFill="1" applyBorder="1"/>
    <xf numFmtId="0" fontId="6" fillId="7" borderId="22" xfId="0" applyFont="1" applyFill="1" applyBorder="1"/>
    <xf numFmtId="1" fontId="12" fillId="7" borderId="23" xfId="0" applyNumberFormat="1" applyFont="1" applyFill="1" applyBorder="1"/>
    <xf numFmtId="0" fontId="6" fillId="7" borderId="23" xfId="0" applyFont="1" applyFill="1" applyBorder="1"/>
    <xf numFmtId="0" fontId="6" fillId="7" borderId="24" xfId="0" applyFont="1" applyFill="1" applyBorder="1"/>
    <xf numFmtId="166" fontId="28" fillId="7" borderId="17" xfId="1" applyNumberFormat="1" applyFont="1" applyFill="1" applyBorder="1"/>
    <xf numFmtId="166" fontId="28" fillId="7" borderId="54" xfId="1" applyNumberFormat="1" applyFont="1" applyFill="1" applyBorder="1"/>
    <xf numFmtId="0" fontId="7" fillId="5" borderId="30" xfId="0" applyFont="1" applyFill="1" applyBorder="1" applyAlignment="1">
      <alignment horizontal="center" vertical="center" wrapText="1"/>
    </xf>
    <xf numFmtId="0" fontId="7" fillId="5" borderId="11" xfId="0" applyFont="1" applyFill="1" applyBorder="1" applyAlignment="1">
      <alignment horizontal="center" vertical="center" wrapText="1"/>
    </xf>
    <xf numFmtId="164" fontId="7" fillId="5" borderId="30" xfId="1" applyFont="1" applyFill="1" applyBorder="1" applyAlignment="1">
      <alignment horizontal="center" vertical="center" wrapText="1"/>
    </xf>
    <xf numFmtId="164" fontId="7" fillId="5" borderId="11" xfId="1" applyFont="1" applyFill="1" applyBorder="1" applyAlignment="1">
      <alignment horizontal="center" vertical="center" wrapText="1"/>
    </xf>
    <xf numFmtId="0" fontId="3" fillId="14" borderId="31" xfId="0" applyFont="1" applyFill="1" applyBorder="1" applyAlignment="1">
      <alignment horizontal="left"/>
    </xf>
    <xf numFmtId="0" fontId="3" fillId="14" borderId="32" xfId="0" applyFont="1" applyFill="1" applyBorder="1" applyAlignment="1">
      <alignment horizontal="left"/>
    </xf>
    <xf numFmtId="0" fontId="3" fillId="14" borderId="33" xfId="0" applyFont="1" applyFill="1" applyBorder="1" applyAlignment="1">
      <alignment horizontal="left"/>
    </xf>
    <xf numFmtId="0" fontId="16" fillId="6" borderId="1" xfId="0" applyFont="1" applyFill="1" applyBorder="1" applyAlignment="1">
      <alignment horizontal="center" vertical="center"/>
    </xf>
    <xf numFmtId="0" fontId="16" fillId="6" borderId="2" xfId="0" applyFont="1" applyFill="1" applyBorder="1" applyAlignment="1">
      <alignment horizontal="center" vertical="center"/>
    </xf>
    <xf numFmtId="0" fontId="16" fillId="6" borderId="3" xfId="0" applyFont="1" applyFill="1" applyBorder="1" applyAlignment="1">
      <alignment horizontal="center" vertical="center"/>
    </xf>
    <xf numFmtId="0" fontId="16" fillId="6" borderId="6" xfId="0" applyFont="1" applyFill="1" applyBorder="1" applyAlignment="1">
      <alignment horizontal="center" vertical="center"/>
    </xf>
    <xf numFmtId="0" fontId="16" fillId="6" borderId="7" xfId="0" applyFont="1" applyFill="1" applyBorder="1" applyAlignment="1">
      <alignment horizontal="center" vertical="center"/>
    </xf>
    <xf numFmtId="0" fontId="15" fillId="15" borderId="10" xfId="0" applyFont="1" applyFill="1" applyBorder="1" applyAlignment="1">
      <alignment horizontal="center"/>
    </xf>
    <xf numFmtId="0" fontId="3" fillId="9" borderId="10" xfId="0" applyFont="1" applyFill="1" applyBorder="1" applyAlignment="1">
      <alignment horizontal="center"/>
    </xf>
    <xf numFmtId="0" fontId="16" fillId="17" borderId="25" xfId="0" applyFont="1" applyFill="1" applyBorder="1" applyAlignment="1">
      <alignment horizontal="center" vertical="center" wrapText="1"/>
    </xf>
    <xf numFmtId="0" fontId="16" fillId="17" borderId="27" xfId="0" applyFont="1" applyFill="1" applyBorder="1" applyAlignment="1">
      <alignment horizontal="center" vertical="center" wrapText="1"/>
    </xf>
    <xf numFmtId="0" fontId="16" fillId="17" borderId="26" xfId="0" applyFont="1" applyFill="1" applyBorder="1" applyAlignment="1">
      <alignment horizontal="center" vertical="center" wrapText="1"/>
    </xf>
    <xf numFmtId="0" fontId="3" fillId="16" borderId="52" xfId="0" applyFont="1" applyFill="1" applyBorder="1" applyAlignment="1">
      <alignment horizontal="center"/>
    </xf>
    <xf numFmtId="0" fontId="3" fillId="16" borderId="53" xfId="0" applyFont="1" applyFill="1" applyBorder="1" applyAlignment="1">
      <alignment horizontal="center"/>
    </xf>
    <xf numFmtId="0" fontId="16" fillId="11" borderId="31" xfId="0" applyFont="1" applyFill="1" applyBorder="1" applyAlignment="1">
      <alignment horizontal="center" vertical="center"/>
    </xf>
    <xf numFmtId="0" fontId="16" fillId="11" borderId="32" xfId="0" applyFont="1" applyFill="1" applyBorder="1" applyAlignment="1">
      <alignment horizontal="center" vertical="center"/>
    </xf>
    <xf numFmtId="0" fontId="16" fillId="11" borderId="33" xfId="0" applyFont="1" applyFill="1" applyBorder="1" applyAlignment="1">
      <alignment horizontal="center" vertical="center"/>
    </xf>
    <xf numFmtId="0" fontId="16" fillId="17" borderId="31" xfId="0" applyFont="1" applyFill="1" applyBorder="1" applyAlignment="1">
      <alignment horizontal="center" vertical="center"/>
    </xf>
    <xf numFmtId="0" fontId="16" fillId="17" borderId="32" xfId="0" applyFont="1" applyFill="1" applyBorder="1" applyAlignment="1">
      <alignment horizontal="center" vertical="center"/>
    </xf>
    <xf numFmtId="0" fontId="16" fillId="17" borderId="33" xfId="0" applyFont="1" applyFill="1" applyBorder="1" applyAlignment="1">
      <alignment horizontal="center" vertical="center"/>
    </xf>
    <xf numFmtId="0" fontId="16" fillId="7" borderId="31" xfId="0" applyFont="1" applyFill="1" applyBorder="1" applyAlignment="1">
      <alignment horizontal="center"/>
    </xf>
    <xf numFmtId="0" fontId="16" fillId="7" borderId="32" xfId="0" applyFont="1" applyFill="1" applyBorder="1" applyAlignment="1">
      <alignment horizontal="center"/>
    </xf>
    <xf numFmtId="0" fontId="16" fillId="7" borderId="33" xfId="0" applyFont="1" applyFill="1" applyBorder="1" applyAlignment="1">
      <alignment horizontal="center"/>
    </xf>
    <xf numFmtId="0" fontId="3" fillId="17" borderId="34" xfId="0" applyFont="1" applyFill="1" applyBorder="1" applyAlignment="1">
      <alignment horizontal="center" vertical="center"/>
    </xf>
    <xf numFmtId="0" fontId="3" fillId="17" borderId="35" xfId="0" applyFont="1" applyFill="1" applyBorder="1" applyAlignment="1">
      <alignment horizontal="center" vertical="center"/>
    </xf>
    <xf numFmtId="0" fontId="3" fillId="17" borderId="36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5" fillId="0" borderId="4" xfId="0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3" fillId="0" borderId="0" xfId="0" applyFont="1" applyBorder="1" applyAlignment="1">
      <alignment horizontal="left"/>
    </xf>
    <xf numFmtId="0" fontId="3" fillId="16" borderId="10" xfId="0" applyFont="1" applyFill="1" applyBorder="1" applyAlignment="1">
      <alignment horizontal="left"/>
    </xf>
    <xf numFmtId="0" fontId="3" fillId="17" borderId="41" xfId="0" applyFont="1" applyFill="1" applyBorder="1" applyAlignment="1">
      <alignment horizontal="center" vertical="center"/>
    </xf>
    <xf numFmtId="0" fontId="3" fillId="17" borderId="42" xfId="0" applyFont="1" applyFill="1" applyBorder="1" applyAlignment="1">
      <alignment horizontal="center" vertical="center"/>
    </xf>
    <xf numFmtId="0" fontId="3" fillId="17" borderId="43" xfId="0" applyFont="1" applyFill="1" applyBorder="1" applyAlignment="1">
      <alignment horizontal="center" vertical="center"/>
    </xf>
    <xf numFmtId="0" fontId="16" fillId="11" borderId="25" xfId="0" applyFont="1" applyFill="1" applyBorder="1" applyAlignment="1">
      <alignment horizontal="center" vertical="center" wrapText="1"/>
    </xf>
    <xf numFmtId="0" fontId="16" fillId="11" borderId="27" xfId="0" applyFont="1" applyFill="1" applyBorder="1" applyAlignment="1">
      <alignment horizontal="center" vertical="center" wrapText="1"/>
    </xf>
    <xf numFmtId="0" fontId="16" fillId="11" borderId="26" xfId="0" applyFont="1" applyFill="1" applyBorder="1" applyAlignment="1">
      <alignment horizontal="center" vertical="center" wrapText="1"/>
    </xf>
    <xf numFmtId="0" fontId="3" fillId="12" borderId="10" xfId="0" applyFont="1" applyFill="1" applyBorder="1" applyAlignment="1">
      <alignment horizontal="left"/>
    </xf>
    <xf numFmtId="0" fontId="16" fillId="14" borderId="1" xfId="0" applyFont="1" applyFill="1" applyBorder="1" applyAlignment="1">
      <alignment horizontal="center" vertical="center" wrapText="1"/>
    </xf>
    <xf numFmtId="0" fontId="16" fillId="14" borderId="2" xfId="0" applyFont="1" applyFill="1" applyBorder="1" applyAlignment="1">
      <alignment horizontal="center" vertical="center" wrapText="1"/>
    </xf>
    <xf numFmtId="0" fontId="16" fillId="14" borderId="3" xfId="0" applyFont="1" applyFill="1" applyBorder="1" applyAlignment="1">
      <alignment horizontal="center" vertical="center" wrapText="1"/>
    </xf>
    <xf numFmtId="0" fontId="16" fillId="14" borderId="6" xfId="0" applyFont="1" applyFill="1" applyBorder="1" applyAlignment="1">
      <alignment horizontal="center" vertical="center" wrapText="1"/>
    </xf>
    <xf numFmtId="0" fontId="16" fillId="14" borderId="7" xfId="0" applyFont="1" applyFill="1" applyBorder="1" applyAlignment="1">
      <alignment horizontal="center" vertical="center" wrapText="1"/>
    </xf>
    <xf numFmtId="0" fontId="16" fillId="14" borderId="8" xfId="0" applyFont="1" applyFill="1" applyBorder="1" applyAlignment="1">
      <alignment horizontal="center" vertical="center" wrapText="1"/>
    </xf>
    <xf numFmtId="0" fontId="3" fillId="12" borderId="44" xfId="0" applyFont="1" applyFill="1" applyBorder="1" applyAlignment="1">
      <alignment horizontal="center" vertical="center" wrapText="1"/>
    </xf>
    <xf numFmtId="0" fontId="3" fillId="12" borderId="46" xfId="0" applyFont="1" applyFill="1" applyBorder="1" applyAlignment="1">
      <alignment horizontal="center" vertical="center" wrapText="1"/>
    </xf>
    <xf numFmtId="0" fontId="3" fillId="12" borderId="48" xfId="0" applyFont="1" applyFill="1" applyBorder="1" applyAlignment="1">
      <alignment horizontal="center" vertical="center" wrapText="1"/>
    </xf>
    <xf numFmtId="0" fontId="3" fillId="12" borderId="50" xfId="0" applyFont="1" applyFill="1" applyBorder="1" applyAlignment="1">
      <alignment horizontal="center" vertical="center" wrapText="1"/>
    </xf>
    <xf numFmtId="166" fontId="16" fillId="14" borderId="47" xfId="0" applyNumberFormat="1" applyFont="1" applyFill="1" applyBorder="1" applyAlignment="1">
      <alignment horizontal="center" vertical="center" wrapText="1"/>
    </xf>
    <xf numFmtId="0" fontId="16" fillId="14" borderId="51" xfId="0" applyFont="1" applyFill="1" applyBorder="1" applyAlignment="1">
      <alignment horizontal="center" vertical="center" wrapText="1"/>
    </xf>
    <xf numFmtId="0" fontId="3" fillId="14" borderId="44" xfId="0" applyFont="1" applyFill="1" applyBorder="1" applyAlignment="1">
      <alignment horizontal="center" vertical="center" wrapText="1"/>
    </xf>
    <xf numFmtId="0" fontId="3" fillId="14" borderId="45" xfId="0" applyFont="1" applyFill="1" applyBorder="1" applyAlignment="1">
      <alignment horizontal="center" vertical="center" wrapText="1"/>
    </xf>
    <xf numFmtId="0" fontId="3" fillId="14" borderId="46" xfId="0" applyFont="1" applyFill="1" applyBorder="1" applyAlignment="1">
      <alignment horizontal="center" vertical="center" wrapText="1"/>
    </xf>
    <xf numFmtId="0" fontId="3" fillId="14" borderId="48" xfId="0" applyFont="1" applyFill="1" applyBorder="1" applyAlignment="1">
      <alignment horizontal="center" vertical="center" wrapText="1"/>
    </xf>
    <xf numFmtId="0" fontId="3" fillId="14" borderId="49" xfId="0" applyFont="1" applyFill="1" applyBorder="1" applyAlignment="1">
      <alignment horizontal="center" vertical="center" wrapText="1"/>
    </xf>
    <xf numFmtId="0" fontId="3" fillId="14" borderId="50" xfId="0" applyFont="1" applyFill="1" applyBorder="1" applyAlignment="1">
      <alignment horizontal="center" vertical="center" wrapText="1"/>
    </xf>
    <xf numFmtId="166" fontId="16" fillId="12" borderId="44" xfId="0" applyNumberFormat="1" applyFont="1" applyFill="1" applyBorder="1" applyAlignment="1">
      <alignment horizontal="center" vertical="center" wrapText="1"/>
    </xf>
    <xf numFmtId="0" fontId="16" fillId="12" borderId="45" xfId="0" applyFont="1" applyFill="1" applyBorder="1" applyAlignment="1">
      <alignment horizontal="center" vertical="center" wrapText="1"/>
    </xf>
    <xf numFmtId="0" fontId="16" fillId="12" borderId="46" xfId="0" applyFont="1" applyFill="1" applyBorder="1" applyAlignment="1">
      <alignment horizontal="center" vertical="center" wrapText="1"/>
    </xf>
    <xf numFmtId="0" fontId="16" fillId="12" borderId="48" xfId="0" applyFont="1" applyFill="1" applyBorder="1" applyAlignment="1">
      <alignment horizontal="center" vertical="center" wrapText="1"/>
    </xf>
    <xf numFmtId="0" fontId="16" fillId="12" borderId="49" xfId="0" applyFont="1" applyFill="1" applyBorder="1" applyAlignment="1">
      <alignment horizontal="center" vertical="center" wrapText="1"/>
    </xf>
    <xf numFmtId="0" fontId="16" fillId="12" borderId="50" xfId="0" applyFont="1" applyFill="1" applyBorder="1" applyAlignment="1">
      <alignment horizontal="center" vertical="center" wrapText="1"/>
    </xf>
    <xf numFmtId="0" fontId="3" fillId="0" borderId="31" xfId="0" applyFont="1" applyBorder="1" applyAlignment="1">
      <alignment horizontal="center"/>
    </xf>
    <xf numFmtId="0" fontId="3" fillId="0" borderId="33" xfId="0" applyFont="1" applyBorder="1" applyAlignment="1">
      <alignment horizontal="center"/>
    </xf>
    <xf numFmtId="166" fontId="16" fillId="12" borderId="47" xfId="0" applyNumberFormat="1" applyFont="1" applyFill="1" applyBorder="1" applyAlignment="1">
      <alignment horizontal="center" vertical="center" wrapText="1"/>
    </xf>
    <xf numFmtId="0" fontId="16" fillId="12" borderId="51" xfId="0" applyFont="1" applyFill="1" applyBorder="1" applyAlignment="1">
      <alignment horizontal="center" vertical="center" wrapText="1"/>
    </xf>
    <xf numFmtId="0" fontId="16" fillId="12" borderId="1" xfId="0" applyFont="1" applyFill="1" applyBorder="1" applyAlignment="1">
      <alignment horizontal="center" vertical="center"/>
    </xf>
    <xf numFmtId="0" fontId="16" fillId="12" borderId="2" xfId="0" applyFont="1" applyFill="1" applyBorder="1" applyAlignment="1">
      <alignment horizontal="center" vertical="center"/>
    </xf>
    <xf numFmtId="0" fontId="16" fillId="12" borderId="6" xfId="0" applyFont="1" applyFill="1" applyBorder="1" applyAlignment="1">
      <alignment horizontal="center" vertical="center"/>
    </xf>
    <xf numFmtId="0" fontId="16" fillId="12" borderId="7" xfId="0" applyFont="1" applyFill="1" applyBorder="1" applyAlignment="1">
      <alignment horizontal="center" vertical="center"/>
    </xf>
    <xf numFmtId="0" fontId="3" fillId="10" borderId="44" xfId="0" applyFont="1" applyFill="1" applyBorder="1" applyAlignment="1">
      <alignment horizontal="center" vertical="center" wrapText="1"/>
    </xf>
    <xf numFmtId="0" fontId="3" fillId="10" borderId="46" xfId="0" applyFont="1" applyFill="1" applyBorder="1" applyAlignment="1">
      <alignment horizontal="center" vertical="center" wrapText="1"/>
    </xf>
    <xf numFmtId="0" fontId="3" fillId="10" borderId="48" xfId="0" applyFont="1" applyFill="1" applyBorder="1" applyAlignment="1">
      <alignment horizontal="center" vertical="center" wrapText="1"/>
    </xf>
    <xf numFmtId="0" fontId="3" fillId="10" borderId="50" xfId="0" applyFont="1" applyFill="1" applyBorder="1" applyAlignment="1">
      <alignment horizontal="center" vertical="center" wrapText="1"/>
    </xf>
    <xf numFmtId="0" fontId="15" fillId="13" borderId="25" xfId="0" applyFont="1" applyFill="1" applyBorder="1" applyAlignment="1">
      <alignment horizontal="center" vertical="center" wrapText="1"/>
    </xf>
    <xf numFmtId="0" fontId="15" fillId="13" borderId="27" xfId="0" applyFont="1" applyFill="1" applyBorder="1" applyAlignment="1">
      <alignment horizontal="center" vertical="center" wrapText="1"/>
    </xf>
    <xf numFmtId="0" fontId="15" fillId="13" borderId="26" xfId="0" applyFont="1" applyFill="1" applyBorder="1" applyAlignment="1">
      <alignment horizontal="center" vertical="center" wrapText="1"/>
    </xf>
    <xf numFmtId="166" fontId="16" fillId="10" borderId="44" xfId="0" applyNumberFormat="1" applyFont="1" applyFill="1" applyBorder="1" applyAlignment="1">
      <alignment horizontal="center" vertical="center"/>
    </xf>
    <xf numFmtId="0" fontId="16" fillId="10" borderId="46" xfId="0" applyFont="1" applyFill="1" applyBorder="1" applyAlignment="1">
      <alignment horizontal="center" vertical="center"/>
    </xf>
    <xf numFmtId="0" fontId="16" fillId="10" borderId="48" xfId="0" applyFont="1" applyFill="1" applyBorder="1" applyAlignment="1">
      <alignment horizontal="center" vertical="center"/>
    </xf>
    <xf numFmtId="0" fontId="16" fillId="10" borderId="50" xfId="0" applyFont="1" applyFill="1" applyBorder="1" applyAlignment="1">
      <alignment horizontal="center" vertical="center"/>
    </xf>
    <xf numFmtId="0" fontId="16" fillId="16" borderId="1" xfId="0" applyFont="1" applyFill="1" applyBorder="1" applyAlignment="1">
      <alignment horizontal="center" vertical="center"/>
    </xf>
    <xf numFmtId="0" fontId="16" fillId="16" borderId="2" xfId="0" applyFont="1" applyFill="1" applyBorder="1" applyAlignment="1">
      <alignment horizontal="center" vertical="center"/>
    </xf>
    <xf numFmtId="0" fontId="16" fillId="16" borderId="3" xfId="0" applyFont="1" applyFill="1" applyBorder="1" applyAlignment="1">
      <alignment horizontal="center" vertical="center"/>
    </xf>
    <xf numFmtId="0" fontId="16" fillId="16" borderId="6" xfId="0" applyFont="1" applyFill="1" applyBorder="1" applyAlignment="1">
      <alignment horizontal="center" vertical="center"/>
    </xf>
    <xf numFmtId="0" fontId="16" fillId="16" borderId="7" xfId="0" applyFont="1" applyFill="1" applyBorder="1" applyAlignment="1">
      <alignment horizontal="center" vertical="center"/>
    </xf>
    <xf numFmtId="0" fontId="16" fillId="16" borderId="8" xfId="0" applyFont="1" applyFill="1" applyBorder="1" applyAlignment="1">
      <alignment horizontal="center" vertical="center"/>
    </xf>
    <xf numFmtId="0" fontId="3" fillId="11" borderId="31" xfId="0" applyFont="1" applyFill="1" applyBorder="1" applyAlignment="1">
      <alignment horizontal="center" vertical="center"/>
    </xf>
    <xf numFmtId="0" fontId="3" fillId="11" borderId="32" xfId="0" applyFont="1" applyFill="1" applyBorder="1" applyAlignment="1">
      <alignment horizontal="center" vertical="center"/>
    </xf>
    <xf numFmtId="0" fontId="3" fillId="11" borderId="33" xfId="0" applyFont="1" applyFill="1" applyBorder="1" applyAlignment="1">
      <alignment horizontal="center" vertical="center"/>
    </xf>
    <xf numFmtId="0" fontId="16" fillId="0" borderId="4" xfId="0" applyFont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166" fontId="14" fillId="3" borderId="21" xfId="0" applyNumberFormat="1" applyFont="1" applyFill="1" applyBorder="1" applyAlignment="1">
      <alignment horizontal="center"/>
    </xf>
    <xf numFmtId="0" fontId="14" fillId="3" borderId="39" xfId="0" applyFont="1" applyFill="1" applyBorder="1" applyAlignment="1">
      <alignment horizontal="center"/>
    </xf>
    <xf numFmtId="0" fontId="6" fillId="4" borderId="18" xfId="0" applyFont="1" applyFill="1" applyBorder="1" applyAlignment="1">
      <alignment horizontal="center"/>
    </xf>
    <xf numFmtId="0" fontId="6" fillId="4" borderId="37" xfId="0" applyFont="1" applyFill="1" applyBorder="1" applyAlignment="1">
      <alignment horizontal="center"/>
    </xf>
    <xf numFmtId="0" fontId="6" fillId="4" borderId="38" xfId="0" applyFont="1" applyFill="1" applyBorder="1" applyAlignment="1">
      <alignment horizontal="center"/>
    </xf>
    <xf numFmtId="0" fontId="6" fillId="4" borderId="14" xfId="0" applyFont="1" applyFill="1" applyBorder="1" applyAlignment="1">
      <alignment horizontal="center"/>
    </xf>
    <xf numFmtId="0" fontId="6" fillId="4" borderId="23" xfId="0" applyFont="1" applyFill="1" applyBorder="1" applyAlignment="1">
      <alignment horizontal="center"/>
    </xf>
    <xf numFmtId="0" fontId="6" fillId="4" borderId="24" xfId="0" applyFont="1" applyFill="1" applyBorder="1" applyAlignment="1">
      <alignment horizontal="center"/>
    </xf>
    <xf numFmtId="49" fontId="6" fillId="2" borderId="18" xfId="0" applyNumberFormat="1" applyFont="1" applyFill="1" applyBorder="1" applyAlignment="1">
      <alignment horizontal="center"/>
    </xf>
    <xf numFmtId="49" fontId="6" fillId="2" borderId="37" xfId="0" applyNumberFormat="1" applyFont="1" applyFill="1" applyBorder="1" applyAlignment="1">
      <alignment horizontal="center"/>
    </xf>
    <xf numFmtId="49" fontId="6" fillId="2" borderId="38" xfId="0" applyNumberFormat="1" applyFont="1" applyFill="1" applyBorder="1" applyAlignment="1">
      <alignment horizontal="center"/>
    </xf>
    <xf numFmtId="0" fontId="26" fillId="7" borderId="13" xfId="0" applyFont="1" applyFill="1" applyBorder="1" applyAlignment="1">
      <alignment horizontal="center"/>
    </xf>
    <xf numFmtId="0" fontId="26" fillId="7" borderId="21" xfId="0" applyFont="1" applyFill="1" applyBorder="1" applyAlignment="1">
      <alignment horizontal="center"/>
    </xf>
    <xf numFmtId="0" fontId="6" fillId="2" borderId="13" xfId="0" applyFont="1" applyFill="1" applyBorder="1" applyAlignment="1">
      <alignment horizontal="center"/>
    </xf>
    <xf numFmtId="0" fontId="6" fillId="2" borderId="21" xfId="0" applyFont="1" applyFill="1" applyBorder="1" applyAlignment="1">
      <alignment horizontal="center"/>
    </xf>
    <xf numFmtId="0" fontId="6" fillId="2" borderId="39" xfId="0" applyFont="1" applyFill="1" applyBorder="1" applyAlignment="1">
      <alignment horizontal="center"/>
    </xf>
    <xf numFmtId="0" fontId="8" fillId="4" borderId="19" xfId="0" applyFont="1" applyFill="1" applyBorder="1" applyAlignment="1">
      <alignment horizontal="center"/>
    </xf>
    <xf numFmtId="0" fontId="8" fillId="4" borderId="0" xfId="0" applyFont="1" applyFill="1" applyBorder="1" applyAlignment="1">
      <alignment horizontal="center"/>
    </xf>
    <xf numFmtId="0" fontId="8" fillId="4" borderId="15" xfId="0" applyFont="1" applyFill="1" applyBorder="1" applyAlignment="1">
      <alignment horizontal="center"/>
    </xf>
    <xf numFmtId="0" fontId="9" fillId="4" borderId="19" xfId="0" applyFont="1" applyFill="1" applyBorder="1" applyAlignment="1">
      <alignment horizontal="center"/>
    </xf>
    <xf numFmtId="0" fontId="9" fillId="4" borderId="0" xfId="0" applyFont="1" applyFill="1" applyBorder="1" applyAlignment="1">
      <alignment horizontal="center"/>
    </xf>
    <xf numFmtId="0" fontId="9" fillId="4" borderId="15" xfId="0" applyFont="1" applyFill="1" applyBorder="1" applyAlignment="1">
      <alignment horizontal="center"/>
    </xf>
    <xf numFmtId="0" fontId="10" fillId="4" borderId="19" xfId="0" applyFont="1" applyFill="1" applyBorder="1" applyAlignment="1">
      <alignment horizontal="center"/>
    </xf>
    <xf numFmtId="0" fontId="10" fillId="4" borderId="0" xfId="0" applyFont="1" applyFill="1" applyBorder="1" applyAlignment="1">
      <alignment horizontal="center"/>
    </xf>
    <xf numFmtId="0" fontId="10" fillId="4" borderId="15" xfId="0" applyFont="1" applyFill="1" applyBorder="1" applyAlignment="1">
      <alignment horizontal="center"/>
    </xf>
    <xf numFmtId="0" fontId="11" fillId="7" borderId="13" xfId="0" applyFont="1" applyFill="1" applyBorder="1" applyAlignment="1">
      <alignment horizontal="center"/>
    </xf>
    <xf numFmtId="0" fontId="11" fillId="7" borderId="21" xfId="0" applyFont="1" applyFill="1" applyBorder="1" applyAlignment="1">
      <alignment horizontal="center"/>
    </xf>
    <xf numFmtId="0" fontId="22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169" fontId="23" fillId="0" borderId="0" xfId="0" applyNumberFormat="1" applyFont="1" applyAlignment="1">
      <alignment horizontal="center"/>
    </xf>
    <xf numFmtId="6" fontId="23" fillId="0" borderId="0" xfId="0" applyNumberFormat="1" applyFont="1" applyAlignment="1">
      <alignment horizontal="center"/>
    </xf>
    <xf numFmtId="0" fontId="21" fillId="0" borderId="0" xfId="0" applyFont="1" applyAlignment="1">
      <alignment horizontal="center"/>
    </xf>
    <xf numFmtId="9" fontId="23" fillId="0" borderId="0" xfId="0" applyNumberFormat="1" applyFont="1" applyAlignment="1">
      <alignment horizontal="center"/>
    </xf>
    <xf numFmtId="165" fontId="23" fillId="0" borderId="0" xfId="0" applyNumberFormat="1" applyFont="1" applyAlignment="1">
      <alignment horizontal="center"/>
    </xf>
    <xf numFmtId="0" fontId="25" fillId="0" borderId="0" xfId="0" applyFont="1" applyAlignment="1">
      <alignment horizontal="center"/>
    </xf>
    <xf numFmtId="169" fontId="25" fillId="0" borderId="0" xfId="0" applyNumberFormat="1" applyFont="1" applyAlignment="1">
      <alignment horizontal="center"/>
    </xf>
    <xf numFmtId="169" fontId="24" fillId="0" borderId="0" xfId="0" applyNumberFormat="1" applyFont="1" applyAlignment="1">
      <alignment horizontal="center"/>
    </xf>
    <xf numFmtId="169" fontId="20" fillId="0" borderId="0" xfId="0" applyNumberFormat="1" applyFont="1" applyAlignment="1">
      <alignment horizontal="center"/>
    </xf>
    <xf numFmtId="10" fontId="23" fillId="0" borderId="0" xfId="0" applyNumberFormat="1" applyFont="1" applyAlignment="1">
      <alignment horizontal="center"/>
    </xf>
    <xf numFmtId="0" fontId="16" fillId="18" borderId="1" xfId="0" applyFont="1" applyFill="1" applyBorder="1" applyAlignment="1">
      <alignment horizontal="center"/>
    </xf>
    <xf numFmtId="0" fontId="16" fillId="18" borderId="2" xfId="0" applyFont="1" applyFill="1" applyBorder="1" applyAlignment="1">
      <alignment horizontal="center"/>
    </xf>
    <xf numFmtId="0" fontId="16" fillId="18" borderId="3" xfId="0" applyFont="1" applyFill="1" applyBorder="1" applyAlignment="1">
      <alignment horizontal="center"/>
    </xf>
  </cellXfs>
  <cellStyles count="3">
    <cellStyle name="Moneda" xfId="1" builtinId="4"/>
    <cellStyle name="Normal" xfId="0" builtinId="0"/>
    <cellStyle name="Porcentaje" xfId="2" builtinId="5"/>
  </cellStyles>
  <dxfs count="0"/>
  <tableStyles count="0" defaultTableStyle="TableStyleMedium9" defaultPivotStyle="PivotStyleLight16"/>
  <colors>
    <mruColors>
      <color rgb="FFFF7171"/>
      <color rgb="FF6C6FF0"/>
      <color rgb="FF895CE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19050</xdr:rowOff>
    </xdr:from>
    <xdr:to>
      <xdr:col>4</xdr:col>
      <xdr:colOff>752475</xdr:colOff>
      <xdr:row>16</xdr:row>
      <xdr:rowOff>19050</xdr:rowOff>
    </xdr:to>
    <xdr:sp macro="" textlink="">
      <xdr:nvSpPr>
        <xdr:cNvPr id="2" name="1 Combinar"/>
        <xdr:cNvSpPr/>
      </xdr:nvSpPr>
      <xdr:spPr>
        <a:xfrm>
          <a:off x="838200" y="514350"/>
          <a:ext cx="3038475" cy="2266950"/>
        </a:xfrm>
        <a:prstGeom prst="flowChartMerge">
          <a:avLst/>
        </a:prstGeom>
        <a:solidFill>
          <a:schemeClr val="accent5">
            <a:lumMod val="60000"/>
            <a:lumOff val="4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800">
            <a:latin typeface="Arial" pitchFamily="34" charset="0"/>
            <a:cs typeface="Arial" pitchFamily="34" charset="0"/>
          </a:endParaRPr>
        </a:p>
        <a:p>
          <a:pPr algn="ctr"/>
          <a:r>
            <a:rPr lang="es-CO" sz="1400" b="1">
              <a:latin typeface="Arial" pitchFamily="34" charset="0"/>
              <a:cs typeface="Arial" pitchFamily="34" charset="0"/>
            </a:rPr>
            <a:t>OPERARIO </a:t>
          </a:r>
        </a:p>
        <a:p>
          <a:pPr algn="ctr"/>
          <a:endParaRPr lang="es-CO" sz="1400" b="1">
            <a:latin typeface="Arial" pitchFamily="34" charset="0"/>
            <a:cs typeface="Arial" pitchFamily="34" charset="0"/>
          </a:endParaRPr>
        </a:p>
        <a:p>
          <a:pPr algn="ctr"/>
          <a:r>
            <a:rPr lang="es-CO" sz="1400" b="1">
              <a:latin typeface="Arial" pitchFamily="34" charset="0"/>
              <a:cs typeface="Arial" pitchFamily="34" charset="0"/>
            </a:rPr>
            <a:t>OPERARIA</a:t>
          </a:r>
        </a:p>
        <a:p>
          <a:pPr algn="l"/>
          <a:endParaRPr lang="es-CO" sz="1800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</xdr:col>
      <xdr:colOff>0</xdr:colOff>
      <xdr:row>2</xdr:row>
      <xdr:rowOff>38100</xdr:rowOff>
    </xdr:from>
    <xdr:to>
      <xdr:col>1</xdr:col>
      <xdr:colOff>0</xdr:colOff>
      <xdr:row>16</xdr:row>
      <xdr:rowOff>19050</xdr:rowOff>
    </xdr:to>
    <xdr:cxnSp macro="">
      <xdr:nvCxnSpPr>
        <xdr:cNvPr id="4" name="3 Conector recto de flecha"/>
        <xdr:cNvCxnSpPr/>
      </xdr:nvCxnSpPr>
      <xdr:spPr>
        <a:xfrm>
          <a:off x="762000" y="361950"/>
          <a:ext cx="0" cy="2247900"/>
        </a:xfrm>
        <a:prstGeom prst="straightConnector1">
          <a:avLst/>
        </a:prstGeom>
        <a:ln>
          <a:solidFill>
            <a:schemeClr val="tx2">
              <a:lumMod val="75000"/>
            </a:schemeClr>
          </a:solidFill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2</xdr:row>
      <xdr:rowOff>38100</xdr:rowOff>
    </xdr:from>
    <xdr:to>
      <xdr:col>5</xdr:col>
      <xdr:colOff>0</xdr:colOff>
      <xdr:row>16</xdr:row>
      <xdr:rowOff>19050</xdr:rowOff>
    </xdr:to>
    <xdr:cxnSp macro="">
      <xdr:nvCxnSpPr>
        <xdr:cNvPr id="6" name="5 Conector recto de flecha"/>
        <xdr:cNvCxnSpPr/>
      </xdr:nvCxnSpPr>
      <xdr:spPr>
        <a:xfrm>
          <a:off x="3810000" y="361950"/>
          <a:ext cx="0" cy="2247900"/>
        </a:xfrm>
        <a:prstGeom prst="straightConnector1">
          <a:avLst/>
        </a:prstGeom>
        <a:ln>
          <a:solidFill>
            <a:schemeClr val="tx2">
              <a:lumMod val="75000"/>
            </a:schemeClr>
          </a:solidFill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20</xdr:row>
      <xdr:rowOff>19050</xdr:rowOff>
    </xdr:from>
    <xdr:to>
      <xdr:col>4</xdr:col>
      <xdr:colOff>752475</xdr:colOff>
      <xdr:row>34</xdr:row>
      <xdr:rowOff>19050</xdr:rowOff>
    </xdr:to>
    <xdr:sp macro="" textlink="">
      <xdr:nvSpPr>
        <xdr:cNvPr id="7" name="6 Combinar"/>
        <xdr:cNvSpPr/>
      </xdr:nvSpPr>
      <xdr:spPr>
        <a:xfrm>
          <a:off x="762000" y="504825"/>
          <a:ext cx="3038475" cy="2266950"/>
        </a:xfrm>
        <a:prstGeom prst="flowChartMerge">
          <a:avLst/>
        </a:prstGeom>
        <a:solidFill>
          <a:srgbClr val="7030A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800">
            <a:latin typeface="Arial" pitchFamily="34" charset="0"/>
            <a:cs typeface="Arial" pitchFamily="34" charset="0"/>
          </a:endParaRPr>
        </a:p>
        <a:p>
          <a:pPr algn="ctr"/>
          <a:r>
            <a:rPr lang="es-CO" sz="1400">
              <a:latin typeface="Arial" pitchFamily="34" charset="0"/>
              <a:cs typeface="Arial" pitchFamily="34" charset="0"/>
            </a:rPr>
            <a:t>OPERARIO </a:t>
          </a:r>
        </a:p>
        <a:p>
          <a:pPr algn="ctr"/>
          <a:endParaRPr lang="es-CO" sz="1400">
            <a:latin typeface="Arial" pitchFamily="34" charset="0"/>
            <a:cs typeface="Arial" pitchFamily="34" charset="0"/>
          </a:endParaRPr>
        </a:p>
        <a:p>
          <a:pPr algn="ctr"/>
          <a:r>
            <a:rPr lang="es-CO" sz="1400">
              <a:latin typeface="Arial" pitchFamily="34" charset="0"/>
              <a:cs typeface="Arial" pitchFamily="34" charset="0"/>
            </a:rPr>
            <a:t>OPERARIA</a:t>
          </a:r>
        </a:p>
        <a:p>
          <a:pPr algn="l"/>
          <a:endParaRPr lang="es-CO" sz="1800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</xdr:col>
      <xdr:colOff>0</xdr:colOff>
      <xdr:row>20</xdr:row>
      <xdr:rowOff>38100</xdr:rowOff>
    </xdr:from>
    <xdr:to>
      <xdr:col>1</xdr:col>
      <xdr:colOff>0</xdr:colOff>
      <xdr:row>34</xdr:row>
      <xdr:rowOff>19050</xdr:rowOff>
    </xdr:to>
    <xdr:cxnSp macro="">
      <xdr:nvCxnSpPr>
        <xdr:cNvPr id="8" name="7 Conector recto de flecha"/>
        <xdr:cNvCxnSpPr/>
      </xdr:nvCxnSpPr>
      <xdr:spPr>
        <a:xfrm>
          <a:off x="762000" y="523875"/>
          <a:ext cx="0" cy="2247900"/>
        </a:xfrm>
        <a:prstGeom prst="straightConnector1">
          <a:avLst/>
        </a:prstGeom>
        <a:ln>
          <a:solidFill>
            <a:srgbClr val="7030A0"/>
          </a:solidFill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20</xdr:row>
      <xdr:rowOff>38100</xdr:rowOff>
    </xdr:from>
    <xdr:to>
      <xdr:col>5</xdr:col>
      <xdr:colOff>0</xdr:colOff>
      <xdr:row>34</xdr:row>
      <xdr:rowOff>19050</xdr:rowOff>
    </xdr:to>
    <xdr:cxnSp macro="">
      <xdr:nvCxnSpPr>
        <xdr:cNvPr id="9" name="8 Conector recto de flecha"/>
        <xdr:cNvCxnSpPr/>
      </xdr:nvCxnSpPr>
      <xdr:spPr>
        <a:xfrm>
          <a:off x="3810000" y="523875"/>
          <a:ext cx="0" cy="2247900"/>
        </a:xfrm>
        <a:prstGeom prst="straightConnector1">
          <a:avLst/>
        </a:prstGeom>
        <a:ln>
          <a:solidFill>
            <a:srgbClr val="7030A0"/>
          </a:solidFill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28575</xdr:colOff>
      <xdr:row>20</xdr:row>
      <xdr:rowOff>19050</xdr:rowOff>
    </xdr:from>
    <xdr:to>
      <xdr:col>5</xdr:col>
      <xdr:colOff>19050</xdr:colOff>
      <xdr:row>34</xdr:row>
      <xdr:rowOff>19050</xdr:rowOff>
    </xdr:to>
    <xdr:sp macro="" textlink="">
      <xdr:nvSpPr>
        <xdr:cNvPr id="11" name="10 Combinar"/>
        <xdr:cNvSpPr/>
      </xdr:nvSpPr>
      <xdr:spPr>
        <a:xfrm>
          <a:off x="790575" y="3762375"/>
          <a:ext cx="3038475" cy="2266950"/>
        </a:xfrm>
        <a:prstGeom prst="flowChartMerge">
          <a:avLst/>
        </a:prstGeom>
        <a:solidFill>
          <a:schemeClr val="accent5">
            <a:lumMod val="60000"/>
            <a:lumOff val="4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1800">
              <a:latin typeface="Arial" pitchFamily="34" charset="0"/>
              <a:cs typeface="Arial" pitchFamily="34" charset="0"/>
            </a:rPr>
            <a:t>  SALARIO</a:t>
          </a:r>
        </a:p>
        <a:p>
          <a:pPr algn="ctr"/>
          <a:r>
            <a:rPr lang="es-CO" sz="1800">
              <a:latin typeface="Arial" pitchFamily="34" charset="0"/>
              <a:cs typeface="Arial" pitchFamily="34" charset="0"/>
            </a:rPr>
            <a:t>&lt; $1,288,700</a:t>
          </a:r>
        </a:p>
      </xdr:txBody>
    </xdr:sp>
    <xdr:clientData/>
  </xdr:twoCellAnchor>
  <xdr:twoCellAnchor>
    <xdr:from>
      <xdr:col>1</xdr:col>
      <xdr:colOff>0</xdr:colOff>
      <xdr:row>20</xdr:row>
      <xdr:rowOff>38100</xdr:rowOff>
    </xdr:from>
    <xdr:to>
      <xdr:col>1</xdr:col>
      <xdr:colOff>0</xdr:colOff>
      <xdr:row>34</xdr:row>
      <xdr:rowOff>19050</xdr:rowOff>
    </xdr:to>
    <xdr:cxnSp macro="">
      <xdr:nvCxnSpPr>
        <xdr:cNvPr id="12" name="11 Conector recto de flecha"/>
        <xdr:cNvCxnSpPr/>
      </xdr:nvCxnSpPr>
      <xdr:spPr>
        <a:xfrm>
          <a:off x="762000" y="523875"/>
          <a:ext cx="0" cy="2247900"/>
        </a:xfrm>
        <a:prstGeom prst="straightConnector1">
          <a:avLst/>
        </a:prstGeom>
        <a:ln>
          <a:solidFill>
            <a:schemeClr val="tx2">
              <a:lumMod val="75000"/>
            </a:schemeClr>
          </a:solidFill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20</xdr:row>
      <xdr:rowOff>38100</xdr:rowOff>
    </xdr:from>
    <xdr:to>
      <xdr:col>5</xdr:col>
      <xdr:colOff>0</xdr:colOff>
      <xdr:row>34</xdr:row>
      <xdr:rowOff>19050</xdr:rowOff>
    </xdr:to>
    <xdr:cxnSp macro="">
      <xdr:nvCxnSpPr>
        <xdr:cNvPr id="13" name="12 Conector recto de flecha"/>
        <xdr:cNvCxnSpPr/>
      </xdr:nvCxnSpPr>
      <xdr:spPr>
        <a:xfrm>
          <a:off x="3810000" y="523875"/>
          <a:ext cx="0" cy="2247900"/>
        </a:xfrm>
        <a:prstGeom prst="straightConnector1">
          <a:avLst/>
        </a:prstGeom>
        <a:ln>
          <a:solidFill>
            <a:schemeClr val="tx2">
              <a:lumMod val="75000"/>
            </a:schemeClr>
          </a:solidFill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39</xdr:row>
      <xdr:rowOff>19050</xdr:rowOff>
    </xdr:from>
    <xdr:to>
      <xdr:col>4</xdr:col>
      <xdr:colOff>752475</xdr:colOff>
      <xdr:row>53</xdr:row>
      <xdr:rowOff>19050</xdr:rowOff>
    </xdr:to>
    <xdr:sp macro="" textlink="">
      <xdr:nvSpPr>
        <xdr:cNvPr id="14" name="13 Combinar"/>
        <xdr:cNvSpPr/>
      </xdr:nvSpPr>
      <xdr:spPr>
        <a:xfrm>
          <a:off x="762000" y="504825"/>
          <a:ext cx="3038475" cy="2266950"/>
        </a:xfrm>
        <a:prstGeom prst="flowChartMerge">
          <a:avLst/>
        </a:prstGeom>
        <a:solidFill>
          <a:schemeClr val="accent5">
            <a:lumMod val="60000"/>
            <a:lumOff val="4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lang="es-CO" sz="1800">
            <a:latin typeface="Arial" pitchFamily="34" charset="0"/>
            <a:cs typeface="Arial" pitchFamily="34" charset="0"/>
          </a:endParaRPr>
        </a:p>
        <a:p>
          <a:pPr algn="ctr"/>
          <a:r>
            <a:rPr lang="es-CO" sz="1800">
              <a:latin typeface="Arial" pitchFamily="34" charset="0"/>
              <a:cs typeface="Arial" pitchFamily="34" charset="0"/>
            </a:rPr>
            <a:t>SI ES</a:t>
          </a:r>
        </a:p>
        <a:p>
          <a:pPr algn="ctr"/>
          <a:r>
            <a:rPr lang="es-CO" sz="1800">
              <a:latin typeface="Arial" pitchFamily="34" charset="0"/>
              <a:cs typeface="Arial" pitchFamily="34" charset="0"/>
            </a:rPr>
            <a:t>VENDEDOR</a:t>
          </a:r>
        </a:p>
        <a:p>
          <a:pPr algn="ctr"/>
          <a:r>
            <a:rPr lang="es-CO" sz="1800">
              <a:latin typeface="Arial" pitchFamily="34" charset="0"/>
              <a:cs typeface="Arial" pitchFamily="34" charset="0"/>
            </a:rPr>
            <a:t> </a:t>
          </a:r>
        </a:p>
        <a:p>
          <a:pPr algn="l"/>
          <a:endParaRPr lang="es-CO" sz="1800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</xdr:col>
      <xdr:colOff>0</xdr:colOff>
      <xdr:row>39</xdr:row>
      <xdr:rowOff>38100</xdr:rowOff>
    </xdr:from>
    <xdr:to>
      <xdr:col>1</xdr:col>
      <xdr:colOff>0</xdr:colOff>
      <xdr:row>53</xdr:row>
      <xdr:rowOff>19050</xdr:rowOff>
    </xdr:to>
    <xdr:cxnSp macro="">
      <xdr:nvCxnSpPr>
        <xdr:cNvPr id="15" name="14 Conector recto de flecha"/>
        <xdr:cNvCxnSpPr/>
      </xdr:nvCxnSpPr>
      <xdr:spPr>
        <a:xfrm>
          <a:off x="762000" y="523875"/>
          <a:ext cx="0" cy="2247900"/>
        </a:xfrm>
        <a:prstGeom prst="straightConnector1">
          <a:avLst/>
        </a:prstGeom>
        <a:ln>
          <a:solidFill>
            <a:schemeClr val="tx2">
              <a:lumMod val="75000"/>
            </a:schemeClr>
          </a:solidFill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39</xdr:row>
      <xdr:rowOff>38100</xdr:rowOff>
    </xdr:from>
    <xdr:to>
      <xdr:col>5</xdr:col>
      <xdr:colOff>0</xdr:colOff>
      <xdr:row>53</xdr:row>
      <xdr:rowOff>19050</xdr:rowOff>
    </xdr:to>
    <xdr:cxnSp macro="">
      <xdr:nvCxnSpPr>
        <xdr:cNvPr id="16" name="15 Conector recto de flecha"/>
        <xdr:cNvCxnSpPr/>
      </xdr:nvCxnSpPr>
      <xdr:spPr>
        <a:xfrm>
          <a:off x="3810000" y="523875"/>
          <a:ext cx="0" cy="2247900"/>
        </a:xfrm>
        <a:prstGeom prst="straightConnector1">
          <a:avLst/>
        </a:prstGeom>
        <a:ln>
          <a:solidFill>
            <a:schemeClr val="tx2">
              <a:lumMod val="75000"/>
            </a:schemeClr>
          </a:solidFill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58</xdr:row>
      <xdr:rowOff>19050</xdr:rowOff>
    </xdr:from>
    <xdr:to>
      <xdr:col>4</xdr:col>
      <xdr:colOff>752475</xdr:colOff>
      <xdr:row>72</xdr:row>
      <xdr:rowOff>19050</xdr:rowOff>
    </xdr:to>
    <xdr:sp macro="" textlink="">
      <xdr:nvSpPr>
        <xdr:cNvPr id="17" name="16 Combinar"/>
        <xdr:cNvSpPr/>
      </xdr:nvSpPr>
      <xdr:spPr>
        <a:xfrm>
          <a:off x="762000" y="504825"/>
          <a:ext cx="3038475" cy="2266950"/>
        </a:xfrm>
        <a:prstGeom prst="flowChartMerge">
          <a:avLst/>
        </a:prstGeom>
        <a:solidFill>
          <a:schemeClr val="accent5">
            <a:lumMod val="60000"/>
            <a:lumOff val="4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800">
            <a:latin typeface="Arial" pitchFamily="34" charset="0"/>
            <a:cs typeface="Arial" pitchFamily="34" charset="0"/>
          </a:endParaRPr>
        </a:p>
        <a:p>
          <a:pPr algn="ctr"/>
          <a:r>
            <a:rPr lang="es-CO" sz="1400" b="1">
              <a:latin typeface="Arial" pitchFamily="34" charset="0"/>
              <a:cs typeface="Arial" pitchFamily="34" charset="0"/>
            </a:rPr>
            <a:t>SALARIO</a:t>
          </a:r>
        </a:p>
        <a:p>
          <a:pPr algn="ctr"/>
          <a:r>
            <a:rPr lang="es-CO" sz="1400" b="1">
              <a:latin typeface="Arial" pitchFamily="34" charset="0"/>
              <a:cs typeface="Arial" pitchFamily="34" charset="0"/>
            </a:rPr>
            <a:t>&gt;=</a:t>
          </a:r>
        </a:p>
        <a:p>
          <a:pPr algn="ctr"/>
          <a:r>
            <a:rPr lang="es-CO" sz="1400" b="1">
              <a:latin typeface="Arial" pitchFamily="34" charset="0"/>
              <a:cs typeface="Arial" pitchFamily="34" charset="0"/>
            </a:rPr>
            <a:t>$700,000</a:t>
          </a:r>
        </a:p>
        <a:p>
          <a:pPr algn="l"/>
          <a:endParaRPr lang="es-CO" sz="1800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</xdr:col>
      <xdr:colOff>0</xdr:colOff>
      <xdr:row>58</xdr:row>
      <xdr:rowOff>38100</xdr:rowOff>
    </xdr:from>
    <xdr:to>
      <xdr:col>1</xdr:col>
      <xdr:colOff>0</xdr:colOff>
      <xdr:row>72</xdr:row>
      <xdr:rowOff>19050</xdr:rowOff>
    </xdr:to>
    <xdr:cxnSp macro="">
      <xdr:nvCxnSpPr>
        <xdr:cNvPr id="18" name="17 Conector recto de flecha"/>
        <xdr:cNvCxnSpPr/>
      </xdr:nvCxnSpPr>
      <xdr:spPr>
        <a:xfrm>
          <a:off x="762000" y="523875"/>
          <a:ext cx="0" cy="2247900"/>
        </a:xfrm>
        <a:prstGeom prst="straightConnector1">
          <a:avLst/>
        </a:prstGeom>
        <a:ln>
          <a:solidFill>
            <a:schemeClr val="tx2">
              <a:lumMod val="75000"/>
            </a:schemeClr>
          </a:solidFill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58</xdr:row>
      <xdr:rowOff>38100</xdr:rowOff>
    </xdr:from>
    <xdr:to>
      <xdr:col>5</xdr:col>
      <xdr:colOff>0</xdr:colOff>
      <xdr:row>72</xdr:row>
      <xdr:rowOff>19050</xdr:rowOff>
    </xdr:to>
    <xdr:cxnSp macro="">
      <xdr:nvCxnSpPr>
        <xdr:cNvPr id="19" name="18 Conector recto de flecha"/>
        <xdr:cNvCxnSpPr/>
      </xdr:nvCxnSpPr>
      <xdr:spPr>
        <a:xfrm>
          <a:off x="3810000" y="523875"/>
          <a:ext cx="0" cy="2247900"/>
        </a:xfrm>
        <a:prstGeom prst="straightConnector1">
          <a:avLst/>
        </a:prstGeom>
        <a:ln>
          <a:solidFill>
            <a:schemeClr val="tx2">
              <a:lumMod val="75000"/>
            </a:schemeClr>
          </a:solidFill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77</xdr:row>
      <xdr:rowOff>19050</xdr:rowOff>
    </xdr:from>
    <xdr:to>
      <xdr:col>4</xdr:col>
      <xdr:colOff>752475</xdr:colOff>
      <xdr:row>91</xdr:row>
      <xdr:rowOff>19050</xdr:rowOff>
    </xdr:to>
    <xdr:sp macro="" textlink="">
      <xdr:nvSpPr>
        <xdr:cNvPr id="20" name="19 Combinar"/>
        <xdr:cNvSpPr/>
      </xdr:nvSpPr>
      <xdr:spPr>
        <a:xfrm>
          <a:off x="762000" y="504825"/>
          <a:ext cx="3038475" cy="2266950"/>
        </a:xfrm>
        <a:prstGeom prst="flowChartMerge">
          <a:avLst/>
        </a:prstGeom>
        <a:solidFill>
          <a:schemeClr val="accent5">
            <a:lumMod val="60000"/>
            <a:lumOff val="4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800">
            <a:latin typeface="Arial" pitchFamily="34" charset="0"/>
            <a:cs typeface="Arial" pitchFamily="34" charset="0"/>
          </a:endParaRPr>
        </a:p>
        <a:p>
          <a:pPr algn="ctr"/>
          <a:r>
            <a:rPr lang="es-CO" sz="1600" b="1">
              <a:solidFill>
                <a:schemeClr val="lt1"/>
              </a:solidFill>
              <a:effectLst/>
              <a:latin typeface="Arial" pitchFamily="34" charset="0"/>
              <a:ea typeface="+mn-ea"/>
              <a:cs typeface="Arial" pitchFamily="34" charset="0"/>
            </a:rPr>
            <a:t>SALARIO</a:t>
          </a:r>
          <a:endParaRPr lang="es-CO" sz="1600">
            <a:effectLst/>
            <a:latin typeface="Arial" pitchFamily="34" charset="0"/>
            <a:cs typeface="Arial" pitchFamily="34" charset="0"/>
          </a:endParaRPr>
        </a:p>
        <a:p>
          <a:pPr algn="ctr"/>
          <a:r>
            <a:rPr lang="es-CO" sz="1600" b="1">
              <a:solidFill>
                <a:schemeClr val="lt1"/>
              </a:solidFill>
              <a:effectLst/>
              <a:latin typeface="Arial" pitchFamily="34" charset="0"/>
              <a:ea typeface="+mn-ea"/>
              <a:cs typeface="Arial" pitchFamily="34" charset="0"/>
            </a:rPr>
            <a:t>&lt;=</a:t>
          </a:r>
          <a:endParaRPr lang="es-CO" sz="1600">
            <a:effectLst/>
            <a:latin typeface="Arial" pitchFamily="34" charset="0"/>
            <a:cs typeface="Arial" pitchFamily="34" charset="0"/>
          </a:endParaRPr>
        </a:p>
        <a:p>
          <a:pPr algn="ctr"/>
          <a:r>
            <a:rPr lang="es-CO" sz="1600" b="1">
              <a:solidFill>
                <a:schemeClr val="lt1"/>
              </a:solidFill>
              <a:effectLst/>
              <a:latin typeface="Arial" pitchFamily="34" charset="0"/>
              <a:ea typeface="+mn-ea"/>
              <a:cs typeface="Arial" pitchFamily="34" charset="0"/>
            </a:rPr>
            <a:t>$700,000</a:t>
          </a:r>
          <a:endParaRPr lang="es-CO" sz="1600">
            <a:effectLst/>
            <a:latin typeface="Arial" pitchFamily="34" charset="0"/>
            <a:cs typeface="Arial" pitchFamily="34" charset="0"/>
          </a:endParaRPr>
        </a:p>
        <a:p>
          <a:pPr algn="l"/>
          <a:endParaRPr lang="es-CO" sz="1800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</xdr:col>
      <xdr:colOff>0</xdr:colOff>
      <xdr:row>77</xdr:row>
      <xdr:rowOff>38100</xdr:rowOff>
    </xdr:from>
    <xdr:to>
      <xdr:col>1</xdr:col>
      <xdr:colOff>0</xdr:colOff>
      <xdr:row>91</xdr:row>
      <xdr:rowOff>19050</xdr:rowOff>
    </xdr:to>
    <xdr:cxnSp macro="">
      <xdr:nvCxnSpPr>
        <xdr:cNvPr id="21" name="20 Conector recto de flecha"/>
        <xdr:cNvCxnSpPr/>
      </xdr:nvCxnSpPr>
      <xdr:spPr>
        <a:xfrm>
          <a:off x="762000" y="523875"/>
          <a:ext cx="0" cy="2247900"/>
        </a:xfrm>
        <a:prstGeom prst="straightConnector1">
          <a:avLst/>
        </a:prstGeom>
        <a:ln>
          <a:solidFill>
            <a:schemeClr val="tx2">
              <a:lumMod val="75000"/>
            </a:schemeClr>
          </a:solidFill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77</xdr:row>
      <xdr:rowOff>38100</xdr:rowOff>
    </xdr:from>
    <xdr:to>
      <xdr:col>5</xdr:col>
      <xdr:colOff>0</xdr:colOff>
      <xdr:row>91</xdr:row>
      <xdr:rowOff>19050</xdr:rowOff>
    </xdr:to>
    <xdr:cxnSp macro="">
      <xdr:nvCxnSpPr>
        <xdr:cNvPr id="22" name="21 Conector recto de flecha"/>
        <xdr:cNvCxnSpPr/>
      </xdr:nvCxnSpPr>
      <xdr:spPr>
        <a:xfrm>
          <a:off x="3810000" y="523875"/>
          <a:ext cx="0" cy="2247900"/>
        </a:xfrm>
        <a:prstGeom prst="straightConnector1">
          <a:avLst/>
        </a:prstGeom>
        <a:ln>
          <a:solidFill>
            <a:schemeClr val="tx2">
              <a:lumMod val="75000"/>
            </a:schemeClr>
          </a:solidFill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96</xdr:row>
      <xdr:rowOff>19050</xdr:rowOff>
    </xdr:from>
    <xdr:to>
      <xdr:col>4</xdr:col>
      <xdr:colOff>752475</xdr:colOff>
      <xdr:row>110</xdr:row>
      <xdr:rowOff>19050</xdr:rowOff>
    </xdr:to>
    <xdr:sp macro="" textlink="">
      <xdr:nvSpPr>
        <xdr:cNvPr id="23" name="22 Combinar"/>
        <xdr:cNvSpPr/>
      </xdr:nvSpPr>
      <xdr:spPr>
        <a:xfrm>
          <a:off x="762000" y="504825"/>
          <a:ext cx="3038475" cy="2266950"/>
        </a:xfrm>
        <a:prstGeom prst="flowChartMerge">
          <a:avLst/>
        </a:prstGeom>
        <a:solidFill>
          <a:schemeClr val="accent5">
            <a:lumMod val="60000"/>
            <a:lumOff val="4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800">
            <a:latin typeface="Arial" pitchFamily="34" charset="0"/>
            <a:cs typeface="Arial" pitchFamily="34" charset="0"/>
          </a:endParaRPr>
        </a:p>
        <a:p>
          <a:pPr algn="ctr"/>
          <a:r>
            <a:rPr lang="es-CO" sz="1600" b="1">
              <a:solidFill>
                <a:schemeClr val="lt1"/>
              </a:solidFill>
              <a:effectLst/>
              <a:latin typeface="Arial" pitchFamily="34" charset="0"/>
              <a:ea typeface="+mn-ea"/>
              <a:cs typeface="Arial" pitchFamily="34" charset="0"/>
            </a:rPr>
            <a:t>SALARIO</a:t>
          </a:r>
          <a:endParaRPr lang="es-CO" sz="1600">
            <a:effectLst/>
            <a:latin typeface="Arial" pitchFamily="34" charset="0"/>
            <a:cs typeface="Arial" pitchFamily="34" charset="0"/>
          </a:endParaRPr>
        </a:p>
        <a:p>
          <a:pPr algn="ctr"/>
          <a:r>
            <a:rPr lang="es-CO" sz="1600" b="1">
              <a:solidFill>
                <a:schemeClr val="lt1"/>
              </a:solidFill>
              <a:effectLst/>
              <a:latin typeface="Arial" pitchFamily="34" charset="0"/>
              <a:ea typeface="+mn-ea"/>
              <a:cs typeface="Arial" pitchFamily="34" charset="0"/>
            </a:rPr>
            <a:t>&lt;=</a:t>
          </a:r>
          <a:endParaRPr lang="es-CO" sz="1600">
            <a:effectLst/>
            <a:latin typeface="Arial" pitchFamily="34" charset="0"/>
            <a:cs typeface="Arial" pitchFamily="34" charset="0"/>
          </a:endParaRPr>
        </a:p>
        <a:p>
          <a:pPr algn="ctr"/>
          <a:r>
            <a:rPr lang="es-CO" sz="1600" b="1">
              <a:solidFill>
                <a:schemeClr val="lt1"/>
              </a:solidFill>
              <a:effectLst/>
              <a:latin typeface="Arial" pitchFamily="34" charset="0"/>
              <a:ea typeface="+mn-ea"/>
              <a:cs typeface="Arial" pitchFamily="34" charset="0"/>
            </a:rPr>
            <a:t>$700,000</a:t>
          </a:r>
          <a:endParaRPr lang="es-CO" sz="1600">
            <a:effectLst/>
            <a:latin typeface="Arial" pitchFamily="34" charset="0"/>
            <a:cs typeface="Arial" pitchFamily="34" charset="0"/>
          </a:endParaRPr>
        </a:p>
        <a:p>
          <a:pPr algn="l"/>
          <a:endParaRPr lang="es-CO" sz="1800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</xdr:col>
      <xdr:colOff>0</xdr:colOff>
      <xdr:row>96</xdr:row>
      <xdr:rowOff>38100</xdr:rowOff>
    </xdr:from>
    <xdr:to>
      <xdr:col>1</xdr:col>
      <xdr:colOff>0</xdr:colOff>
      <xdr:row>110</xdr:row>
      <xdr:rowOff>19050</xdr:rowOff>
    </xdr:to>
    <xdr:cxnSp macro="">
      <xdr:nvCxnSpPr>
        <xdr:cNvPr id="24" name="23 Conector recto de flecha"/>
        <xdr:cNvCxnSpPr/>
      </xdr:nvCxnSpPr>
      <xdr:spPr>
        <a:xfrm>
          <a:off x="762000" y="523875"/>
          <a:ext cx="0" cy="2247900"/>
        </a:xfrm>
        <a:prstGeom prst="straightConnector1">
          <a:avLst/>
        </a:prstGeom>
        <a:ln>
          <a:solidFill>
            <a:schemeClr val="tx2">
              <a:lumMod val="75000"/>
            </a:schemeClr>
          </a:solidFill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96</xdr:row>
      <xdr:rowOff>38100</xdr:rowOff>
    </xdr:from>
    <xdr:to>
      <xdr:col>5</xdr:col>
      <xdr:colOff>0</xdr:colOff>
      <xdr:row>110</xdr:row>
      <xdr:rowOff>19050</xdr:rowOff>
    </xdr:to>
    <xdr:cxnSp macro="">
      <xdr:nvCxnSpPr>
        <xdr:cNvPr id="25" name="24 Conector recto de flecha"/>
        <xdr:cNvCxnSpPr/>
      </xdr:nvCxnSpPr>
      <xdr:spPr>
        <a:xfrm>
          <a:off x="3810000" y="523875"/>
          <a:ext cx="0" cy="2247900"/>
        </a:xfrm>
        <a:prstGeom prst="straightConnector1">
          <a:avLst/>
        </a:prstGeom>
        <a:ln>
          <a:solidFill>
            <a:schemeClr val="tx2">
              <a:lumMod val="75000"/>
            </a:schemeClr>
          </a:solidFill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33"/>
  <sheetViews>
    <sheetView workbookViewId="0">
      <selection activeCell="D4" sqref="D4"/>
    </sheetView>
  </sheetViews>
  <sheetFormatPr baseColWidth="10" defaultColWidth="11.42578125" defaultRowHeight="12.75" x14ac:dyDescent="0.2"/>
  <cols>
    <col min="1" max="1" width="12.85546875" style="22" customWidth="1"/>
    <col min="2" max="2" width="21" style="22" customWidth="1"/>
    <col min="3" max="3" width="19.140625" style="22" bestFit="1" customWidth="1"/>
    <col min="4" max="4" width="14.140625" style="33" bestFit="1" customWidth="1"/>
    <col min="5" max="5" width="10.85546875" style="22" customWidth="1"/>
    <col min="6" max="16384" width="11.42578125" style="22"/>
  </cols>
  <sheetData>
    <row r="1" spans="1:5" x14ac:dyDescent="0.2">
      <c r="A1" s="154" t="s">
        <v>0</v>
      </c>
      <c r="B1" s="154" t="s">
        <v>1</v>
      </c>
      <c r="C1" s="154" t="s">
        <v>2</v>
      </c>
      <c r="D1" s="156" t="s">
        <v>3</v>
      </c>
      <c r="E1" s="154" t="s">
        <v>4</v>
      </c>
    </row>
    <row r="2" spans="1:5" x14ac:dyDescent="0.2">
      <c r="A2" s="155"/>
      <c r="B2" s="155"/>
      <c r="C2" s="155"/>
      <c r="D2" s="157"/>
      <c r="E2" s="155"/>
    </row>
    <row r="3" spans="1:5" x14ac:dyDescent="0.2">
      <c r="A3" s="155"/>
      <c r="B3" s="155"/>
      <c r="C3" s="155"/>
      <c r="D3" s="157"/>
      <c r="E3" s="155"/>
    </row>
    <row r="4" spans="1:5" x14ac:dyDescent="0.2">
      <c r="A4" s="23" t="s">
        <v>5</v>
      </c>
      <c r="B4" s="24" t="s">
        <v>6</v>
      </c>
      <c r="C4" s="25" t="s">
        <v>7</v>
      </c>
      <c r="D4" s="26">
        <v>700000</v>
      </c>
      <c r="E4" s="27">
        <f>D4/30</f>
        <v>23333.333333333332</v>
      </c>
    </row>
    <row r="5" spans="1:5" x14ac:dyDescent="0.2">
      <c r="A5" s="23" t="s">
        <v>8</v>
      </c>
      <c r="B5" s="24" t="s">
        <v>9</v>
      </c>
      <c r="C5" s="25" t="s">
        <v>10</v>
      </c>
      <c r="D5" s="26">
        <v>620000</v>
      </c>
      <c r="E5" s="27">
        <f t="shared" ref="E5:E33" si="0">D5/30</f>
        <v>20666.666666666668</v>
      </c>
    </row>
    <row r="6" spans="1:5" x14ac:dyDescent="0.2">
      <c r="A6" s="23" t="s">
        <v>11</v>
      </c>
      <c r="B6" s="24" t="s">
        <v>12</v>
      </c>
      <c r="C6" s="25" t="s">
        <v>13</v>
      </c>
      <c r="D6" s="26">
        <v>900000</v>
      </c>
      <c r="E6" s="27">
        <f t="shared" si="0"/>
        <v>30000</v>
      </c>
    </row>
    <row r="7" spans="1:5" x14ac:dyDescent="0.2">
      <c r="A7" s="23" t="s">
        <v>14</v>
      </c>
      <c r="B7" s="24" t="s">
        <v>15</v>
      </c>
      <c r="C7" s="25" t="s">
        <v>16</v>
      </c>
      <c r="D7" s="26">
        <v>644350</v>
      </c>
      <c r="E7" s="27">
        <f t="shared" si="0"/>
        <v>21478.333333333332</v>
      </c>
    </row>
    <row r="8" spans="1:5" x14ac:dyDescent="0.2">
      <c r="A8" s="23" t="s">
        <v>17</v>
      </c>
      <c r="B8" s="24" t="s">
        <v>18</v>
      </c>
      <c r="C8" s="25" t="s">
        <v>19</v>
      </c>
      <c r="D8" s="26">
        <v>750000</v>
      </c>
      <c r="E8" s="27">
        <f t="shared" si="0"/>
        <v>25000</v>
      </c>
    </row>
    <row r="9" spans="1:5" x14ac:dyDescent="0.2">
      <c r="A9" s="23" t="s">
        <v>20</v>
      </c>
      <c r="B9" s="24" t="s">
        <v>21</v>
      </c>
      <c r="C9" s="25" t="s">
        <v>10</v>
      </c>
      <c r="D9" s="26">
        <v>620000</v>
      </c>
      <c r="E9" s="27">
        <f t="shared" si="0"/>
        <v>20666.666666666668</v>
      </c>
    </row>
    <row r="10" spans="1:5" x14ac:dyDescent="0.2">
      <c r="A10" s="23" t="s">
        <v>22</v>
      </c>
      <c r="B10" s="24" t="s">
        <v>23</v>
      </c>
      <c r="C10" s="25" t="s">
        <v>24</v>
      </c>
      <c r="D10" s="26">
        <v>644350</v>
      </c>
      <c r="E10" s="27">
        <f t="shared" si="0"/>
        <v>21478.333333333332</v>
      </c>
    </row>
    <row r="11" spans="1:5" x14ac:dyDescent="0.2">
      <c r="A11" s="23" t="s">
        <v>25</v>
      </c>
      <c r="B11" s="24" t="s">
        <v>26</v>
      </c>
      <c r="C11" s="25" t="s">
        <v>10</v>
      </c>
      <c r="D11" s="26">
        <v>620000</v>
      </c>
      <c r="E11" s="27">
        <f t="shared" si="0"/>
        <v>20666.666666666668</v>
      </c>
    </row>
    <row r="12" spans="1:5" x14ac:dyDescent="0.2">
      <c r="A12" s="23" t="s">
        <v>27</v>
      </c>
      <c r="B12" s="24" t="s">
        <v>28</v>
      </c>
      <c r="C12" s="25" t="s">
        <v>19</v>
      </c>
      <c r="D12" s="26">
        <v>750000</v>
      </c>
      <c r="E12" s="27">
        <f t="shared" si="0"/>
        <v>25000</v>
      </c>
    </row>
    <row r="13" spans="1:5" x14ac:dyDescent="0.2">
      <c r="A13" s="23" t="s">
        <v>29</v>
      </c>
      <c r="B13" s="24" t="s">
        <v>30</v>
      </c>
      <c r="C13" s="25" t="s">
        <v>7</v>
      </c>
      <c r="D13" s="26">
        <v>700000</v>
      </c>
      <c r="E13" s="27">
        <f t="shared" si="0"/>
        <v>23333.333333333332</v>
      </c>
    </row>
    <row r="14" spans="1:5" x14ac:dyDescent="0.2">
      <c r="A14" s="23" t="s">
        <v>31</v>
      </c>
      <c r="B14" s="24" t="s">
        <v>32</v>
      </c>
      <c r="C14" s="25" t="s">
        <v>13</v>
      </c>
      <c r="D14" s="26">
        <v>900000</v>
      </c>
      <c r="E14" s="27">
        <f t="shared" si="0"/>
        <v>30000</v>
      </c>
    </row>
    <row r="15" spans="1:5" x14ac:dyDescent="0.2">
      <c r="A15" s="23" t="s">
        <v>33</v>
      </c>
      <c r="B15" s="24" t="s">
        <v>34</v>
      </c>
      <c r="C15" s="25" t="s">
        <v>35</v>
      </c>
      <c r="D15" s="26">
        <v>644350</v>
      </c>
      <c r="E15" s="27">
        <f t="shared" si="0"/>
        <v>21478.333333333332</v>
      </c>
    </row>
    <row r="16" spans="1:5" x14ac:dyDescent="0.2">
      <c r="A16" s="23" t="s">
        <v>36</v>
      </c>
      <c r="B16" s="24" t="s">
        <v>37</v>
      </c>
      <c r="C16" s="25" t="s">
        <v>38</v>
      </c>
      <c r="D16" s="26">
        <v>7000000</v>
      </c>
      <c r="E16" s="27">
        <f t="shared" si="0"/>
        <v>233333.33333333334</v>
      </c>
    </row>
    <row r="17" spans="1:5" x14ac:dyDescent="0.2">
      <c r="A17" s="23" t="s">
        <v>39</v>
      </c>
      <c r="B17" s="24" t="s">
        <v>40</v>
      </c>
      <c r="C17" s="25" t="s">
        <v>13</v>
      </c>
      <c r="D17" s="26">
        <v>900000</v>
      </c>
      <c r="E17" s="27">
        <f t="shared" si="0"/>
        <v>30000</v>
      </c>
    </row>
    <row r="18" spans="1:5" x14ac:dyDescent="0.2">
      <c r="A18" s="23" t="s">
        <v>41</v>
      </c>
      <c r="B18" s="24" t="s">
        <v>42</v>
      </c>
      <c r="C18" s="25" t="s">
        <v>10</v>
      </c>
      <c r="D18" s="26">
        <v>620000</v>
      </c>
      <c r="E18" s="27">
        <f t="shared" si="0"/>
        <v>20666.666666666668</v>
      </c>
    </row>
    <row r="19" spans="1:5" x14ac:dyDescent="0.2">
      <c r="A19" s="23" t="s">
        <v>43</v>
      </c>
      <c r="B19" s="24" t="s">
        <v>44</v>
      </c>
      <c r="C19" s="25" t="s">
        <v>35</v>
      </c>
      <c r="D19" s="26">
        <v>644350</v>
      </c>
      <c r="E19" s="27">
        <f t="shared" si="0"/>
        <v>21478.333333333332</v>
      </c>
    </row>
    <row r="20" spans="1:5" x14ac:dyDescent="0.2">
      <c r="A20" s="23" t="s">
        <v>45</v>
      </c>
      <c r="B20" s="24" t="s">
        <v>46</v>
      </c>
      <c r="C20" s="25" t="s">
        <v>13</v>
      </c>
      <c r="D20" s="26">
        <v>900000</v>
      </c>
      <c r="E20" s="27">
        <f t="shared" si="0"/>
        <v>30000</v>
      </c>
    </row>
    <row r="21" spans="1:5" x14ac:dyDescent="0.2">
      <c r="A21" s="23" t="s">
        <v>47</v>
      </c>
      <c r="B21" s="24" t="s">
        <v>48</v>
      </c>
      <c r="C21" s="25" t="s">
        <v>7</v>
      </c>
      <c r="D21" s="26">
        <v>700000</v>
      </c>
      <c r="E21" s="27">
        <f t="shared" si="0"/>
        <v>23333.333333333332</v>
      </c>
    </row>
    <row r="22" spans="1:5" x14ac:dyDescent="0.2">
      <c r="A22" s="23" t="s">
        <v>49</v>
      </c>
      <c r="B22" s="24" t="s">
        <v>50</v>
      </c>
      <c r="C22" s="25" t="s">
        <v>10</v>
      </c>
      <c r="D22" s="26">
        <v>620000</v>
      </c>
      <c r="E22" s="27">
        <f t="shared" si="0"/>
        <v>20666.666666666668</v>
      </c>
    </row>
    <row r="23" spans="1:5" x14ac:dyDescent="0.2">
      <c r="A23" s="23" t="s">
        <v>51</v>
      </c>
      <c r="B23" s="24" t="s">
        <v>52</v>
      </c>
      <c r="C23" s="25" t="s">
        <v>13</v>
      </c>
      <c r="D23" s="26">
        <v>900000</v>
      </c>
      <c r="E23" s="27">
        <f t="shared" si="0"/>
        <v>30000</v>
      </c>
    </row>
    <row r="24" spans="1:5" x14ac:dyDescent="0.2">
      <c r="A24" s="23" t="s">
        <v>53</v>
      </c>
      <c r="B24" s="24" t="s">
        <v>54</v>
      </c>
      <c r="C24" s="25" t="s">
        <v>35</v>
      </c>
      <c r="D24" s="26">
        <v>644350</v>
      </c>
      <c r="E24" s="27">
        <f t="shared" si="0"/>
        <v>21478.333333333332</v>
      </c>
    </row>
    <row r="25" spans="1:5" x14ac:dyDescent="0.2">
      <c r="A25" s="23" t="s">
        <v>55</v>
      </c>
      <c r="B25" s="24" t="s">
        <v>56</v>
      </c>
      <c r="C25" s="25" t="s">
        <v>57</v>
      </c>
      <c r="D25" s="26">
        <v>700000</v>
      </c>
      <c r="E25" s="27">
        <f t="shared" si="0"/>
        <v>23333.333333333332</v>
      </c>
    </row>
    <row r="26" spans="1:5" x14ac:dyDescent="0.2">
      <c r="A26" s="23" t="s">
        <v>58</v>
      </c>
      <c r="B26" s="24" t="s">
        <v>59</v>
      </c>
      <c r="C26" s="25" t="s">
        <v>16</v>
      </c>
      <c r="D26" s="26">
        <v>644350</v>
      </c>
      <c r="E26" s="27">
        <f t="shared" si="0"/>
        <v>21478.333333333332</v>
      </c>
    </row>
    <row r="27" spans="1:5" x14ac:dyDescent="0.2">
      <c r="A27" s="23" t="s">
        <v>60</v>
      </c>
      <c r="B27" s="24" t="s">
        <v>61</v>
      </c>
      <c r="C27" s="25" t="s">
        <v>19</v>
      </c>
      <c r="D27" s="26">
        <v>750000</v>
      </c>
      <c r="E27" s="27">
        <f t="shared" si="0"/>
        <v>25000</v>
      </c>
    </row>
    <row r="28" spans="1:5" x14ac:dyDescent="0.2">
      <c r="A28" s="23" t="s">
        <v>62</v>
      </c>
      <c r="B28" s="24" t="s">
        <v>63</v>
      </c>
      <c r="C28" s="25" t="s">
        <v>35</v>
      </c>
      <c r="D28" s="26">
        <v>644350</v>
      </c>
      <c r="E28" s="27">
        <f t="shared" si="0"/>
        <v>21478.333333333332</v>
      </c>
    </row>
    <row r="29" spans="1:5" x14ac:dyDescent="0.2">
      <c r="A29" s="23" t="s">
        <v>64</v>
      </c>
      <c r="B29" s="24" t="s">
        <v>65</v>
      </c>
      <c r="C29" s="25" t="s">
        <v>35</v>
      </c>
      <c r="D29" s="26">
        <v>644350</v>
      </c>
      <c r="E29" s="27">
        <f t="shared" si="0"/>
        <v>21478.333333333332</v>
      </c>
    </row>
    <row r="30" spans="1:5" x14ac:dyDescent="0.2">
      <c r="A30" s="23" t="s">
        <v>66</v>
      </c>
      <c r="B30" s="24" t="s">
        <v>67</v>
      </c>
      <c r="C30" s="25" t="s">
        <v>35</v>
      </c>
      <c r="D30" s="26">
        <v>644350</v>
      </c>
      <c r="E30" s="27">
        <f t="shared" si="0"/>
        <v>21478.333333333332</v>
      </c>
    </row>
    <row r="31" spans="1:5" x14ac:dyDescent="0.2">
      <c r="A31" s="23" t="s">
        <v>68</v>
      </c>
      <c r="B31" s="24" t="s">
        <v>69</v>
      </c>
      <c r="C31" s="25" t="s">
        <v>13</v>
      </c>
      <c r="D31" s="26">
        <v>900000</v>
      </c>
      <c r="E31" s="27">
        <f t="shared" si="0"/>
        <v>30000</v>
      </c>
    </row>
    <row r="32" spans="1:5" x14ac:dyDescent="0.2">
      <c r="A32" s="23" t="s">
        <v>70</v>
      </c>
      <c r="B32" s="24" t="s">
        <v>71</v>
      </c>
      <c r="C32" s="25" t="s">
        <v>13</v>
      </c>
      <c r="D32" s="26">
        <v>900000</v>
      </c>
      <c r="E32" s="27">
        <f t="shared" si="0"/>
        <v>30000</v>
      </c>
    </row>
    <row r="33" spans="1:5" ht="13.5" thickBot="1" x14ac:dyDescent="0.25">
      <c r="A33" s="28" t="s">
        <v>72</v>
      </c>
      <c r="B33" s="29" t="s">
        <v>73</v>
      </c>
      <c r="C33" s="30" t="s">
        <v>57</v>
      </c>
      <c r="D33" s="31">
        <v>700000</v>
      </c>
      <c r="E33" s="32">
        <f t="shared" si="0"/>
        <v>23333.333333333332</v>
      </c>
    </row>
  </sheetData>
  <mergeCells count="5">
    <mergeCell ref="E1:E3"/>
    <mergeCell ref="A1:A3"/>
    <mergeCell ref="B1:B3"/>
    <mergeCell ref="C1:C3"/>
    <mergeCell ref="D1:D3"/>
  </mergeCells>
  <pageMargins left="0.75" right="0.75" top="1" bottom="1" header="0" footer="0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A61"/>
  <sheetViews>
    <sheetView tabSelected="1" topLeftCell="K1" zoomScaleNormal="100" workbookViewId="0">
      <selection activeCell="AA49" sqref="AA49"/>
    </sheetView>
  </sheetViews>
  <sheetFormatPr baseColWidth="10" defaultColWidth="11.42578125" defaultRowHeight="11.25" x14ac:dyDescent="0.2"/>
  <cols>
    <col min="1" max="1" width="11.7109375" style="1" bestFit="1" customWidth="1"/>
    <col min="2" max="2" width="17.140625" style="1" bestFit="1" customWidth="1"/>
    <col min="3" max="3" width="13.140625" style="1" bestFit="1" customWidth="1"/>
    <col min="4" max="4" width="8.28515625" style="1" customWidth="1"/>
    <col min="5" max="5" width="13.5703125" style="1" bestFit="1" customWidth="1"/>
    <col min="6" max="6" width="10.28515625" style="1" bestFit="1" customWidth="1"/>
    <col min="7" max="7" width="7.28515625" style="49" customWidth="1"/>
    <col min="8" max="8" width="12.42578125" style="49" bestFit="1" customWidth="1"/>
    <col min="9" max="9" width="7.42578125" style="49" customWidth="1"/>
    <col min="10" max="10" width="10.28515625" style="49" customWidth="1"/>
    <col min="11" max="11" width="8.140625" style="1" bestFit="1" customWidth="1"/>
    <col min="12" max="12" width="10.7109375" style="1" bestFit="1" customWidth="1"/>
    <col min="13" max="13" width="8.140625" style="1" bestFit="1" customWidth="1"/>
    <col min="14" max="14" width="8.28515625" style="1" bestFit="1" customWidth="1"/>
    <col min="15" max="15" width="8.140625" style="1" bestFit="1" customWidth="1"/>
    <col min="16" max="16" width="9" style="1" bestFit="1" customWidth="1"/>
    <col min="17" max="17" width="10" style="1" customWidth="1"/>
    <col min="18" max="18" width="11.5703125" style="1" bestFit="1" customWidth="1"/>
    <col min="19" max="19" width="15.42578125" style="1" customWidth="1"/>
    <col min="20" max="20" width="9.28515625" style="1" bestFit="1" customWidth="1"/>
    <col min="21" max="21" width="8.7109375" style="1" customWidth="1"/>
    <col min="22" max="22" width="9.7109375" style="1" customWidth="1"/>
    <col min="23" max="23" width="10" style="1" customWidth="1"/>
    <col min="24" max="24" width="11.7109375" style="1" bestFit="1" customWidth="1"/>
    <col min="25" max="25" width="15" style="1" bestFit="1" customWidth="1"/>
    <col min="26" max="26" width="9.85546875" style="1" bestFit="1" customWidth="1"/>
    <col min="27" max="27" width="18.85546875" style="1" bestFit="1" customWidth="1"/>
    <col min="28" max="28" width="8" style="1" customWidth="1"/>
    <col min="29" max="16384" width="11.42578125" style="1"/>
  </cols>
  <sheetData>
    <row r="1" spans="1:27" ht="12" thickTop="1" x14ac:dyDescent="0.2">
      <c r="A1" s="5"/>
      <c r="B1" s="6"/>
      <c r="C1" s="6"/>
      <c r="D1" s="6"/>
      <c r="E1" s="6"/>
      <c r="F1" s="6"/>
      <c r="G1" s="45"/>
      <c r="H1" s="45"/>
      <c r="I1" s="45"/>
      <c r="J1" s="45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7"/>
    </row>
    <row r="2" spans="1:27" x14ac:dyDescent="0.2">
      <c r="A2" s="8"/>
      <c r="B2" s="2"/>
      <c r="C2" s="2"/>
      <c r="D2" s="2"/>
      <c r="E2" s="2"/>
      <c r="F2" s="2"/>
      <c r="G2" s="46"/>
      <c r="H2" s="46"/>
      <c r="I2" s="46"/>
      <c r="J2" s="46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9"/>
    </row>
    <row r="3" spans="1:27" ht="18" x14ac:dyDescent="0.25">
      <c r="A3" s="185" t="s">
        <v>154</v>
      </c>
      <c r="B3" s="186"/>
      <c r="C3" s="186"/>
      <c r="D3" s="186"/>
      <c r="E3" s="186"/>
      <c r="F3" s="186"/>
      <c r="G3" s="186"/>
      <c r="H3" s="186"/>
      <c r="I3" s="186"/>
      <c r="J3" s="186"/>
      <c r="K3" s="186"/>
      <c r="L3" s="186"/>
      <c r="M3" s="186"/>
      <c r="N3" s="186"/>
      <c r="O3" s="186"/>
      <c r="P3" s="186"/>
      <c r="Q3" s="186"/>
      <c r="R3" s="186"/>
      <c r="S3" s="186"/>
      <c r="T3" s="186"/>
      <c r="U3" s="186"/>
      <c r="V3" s="186"/>
      <c r="W3" s="186"/>
      <c r="X3" s="186"/>
      <c r="Y3" s="186"/>
      <c r="Z3" s="2"/>
      <c r="AA3" s="8"/>
    </row>
    <row r="4" spans="1:27" ht="18" x14ac:dyDescent="0.25">
      <c r="A4" s="185" t="s">
        <v>74</v>
      </c>
      <c r="B4" s="186"/>
      <c r="C4" s="186"/>
      <c r="D4" s="186"/>
      <c r="E4" s="186"/>
      <c r="F4" s="186"/>
      <c r="G4" s="186"/>
      <c r="H4" s="186"/>
      <c r="I4" s="186"/>
      <c r="J4" s="186"/>
      <c r="K4" s="186"/>
      <c r="L4" s="186"/>
      <c r="M4" s="186"/>
      <c r="N4" s="186"/>
      <c r="O4" s="186"/>
      <c r="P4" s="186"/>
      <c r="Q4" s="186"/>
      <c r="R4" s="186"/>
      <c r="S4" s="186"/>
      <c r="T4" s="186"/>
      <c r="U4" s="186"/>
      <c r="V4" s="186"/>
      <c r="W4" s="186"/>
      <c r="X4" s="186"/>
      <c r="Y4" s="186"/>
      <c r="Z4" s="2"/>
      <c r="AA4" s="8"/>
    </row>
    <row r="5" spans="1:27" x14ac:dyDescent="0.2">
      <c r="A5" s="10"/>
      <c r="B5" s="3"/>
      <c r="C5" s="3"/>
      <c r="D5" s="3"/>
      <c r="E5" s="3"/>
      <c r="F5" s="3"/>
      <c r="G5" s="47"/>
      <c r="H5" s="47"/>
      <c r="I5" s="47"/>
      <c r="J5" s="47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9"/>
    </row>
    <row r="6" spans="1:27" x14ac:dyDescent="0.2">
      <c r="A6" s="187" t="s">
        <v>75</v>
      </c>
      <c r="B6" s="188"/>
      <c r="C6" s="188"/>
      <c r="D6" s="188"/>
      <c r="E6" s="188"/>
      <c r="F6" s="188"/>
      <c r="G6" s="188"/>
      <c r="H6" s="188"/>
      <c r="I6" s="188"/>
      <c r="J6" s="188"/>
      <c r="K6" s="188"/>
      <c r="L6" s="188"/>
      <c r="M6" s="188"/>
      <c r="N6" s="188"/>
      <c r="O6" s="189" t="s">
        <v>76</v>
      </c>
      <c r="P6" s="189"/>
      <c r="Q6" s="189"/>
      <c r="R6" s="189"/>
      <c r="S6" s="189"/>
      <c r="T6" s="189"/>
      <c r="U6" s="189"/>
      <c r="V6" s="189"/>
      <c r="W6" s="189"/>
      <c r="X6" s="189"/>
      <c r="Y6" s="189"/>
      <c r="Z6" s="9"/>
    </row>
    <row r="7" spans="1:27" x14ac:dyDescent="0.2">
      <c r="A7" s="11"/>
      <c r="B7" s="4"/>
      <c r="C7" s="4"/>
      <c r="D7" s="4"/>
      <c r="E7" s="4"/>
      <c r="F7" s="4"/>
      <c r="G7" s="47"/>
      <c r="H7" s="47"/>
      <c r="I7" s="47"/>
      <c r="J7" s="47"/>
      <c r="K7" s="4"/>
      <c r="L7" s="4"/>
      <c r="M7" s="4"/>
      <c r="N7" s="4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  <c r="Z7" s="9"/>
    </row>
    <row r="8" spans="1:27" s="46" customFormat="1" x14ac:dyDescent="0.2">
      <c r="A8" s="47">
        <v>1</v>
      </c>
      <c r="B8" s="47">
        <v>2</v>
      </c>
      <c r="C8" s="47">
        <v>3</v>
      </c>
      <c r="D8" s="47">
        <v>4</v>
      </c>
      <c r="E8" s="47">
        <v>5</v>
      </c>
      <c r="F8" s="47">
        <v>6</v>
      </c>
      <c r="G8" s="47">
        <v>7</v>
      </c>
      <c r="H8" s="47">
        <v>8</v>
      </c>
      <c r="I8" s="47">
        <v>9</v>
      </c>
      <c r="J8" s="47">
        <v>10</v>
      </c>
      <c r="K8" s="47">
        <v>11</v>
      </c>
      <c r="L8" s="47">
        <v>12</v>
      </c>
      <c r="M8" s="47">
        <v>13</v>
      </c>
      <c r="N8" s="47">
        <v>14</v>
      </c>
      <c r="O8" s="47">
        <v>15</v>
      </c>
      <c r="P8" s="47">
        <v>16</v>
      </c>
      <c r="Q8" s="47">
        <v>17</v>
      </c>
      <c r="R8" s="47">
        <v>18</v>
      </c>
      <c r="S8" s="47">
        <v>19</v>
      </c>
      <c r="T8" s="47">
        <v>20</v>
      </c>
      <c r="U8" s="47">
        <v>21</v>
      </c>
      <c r="V8" s="47">
        <v>22</v>
      </c>
      <c r="W8" s="47">
        <v>23</v>
      </c>
      <c r="X8" s="47">
        <v>24</v>
      </c>
      <c r="Y8" s="47">
        <v>25</v>
      </c>
      <c r="Z8" s="47">
        <v>26</v>
      </c>
      <c r="AA8" s="66"/>
    </row>
    <row r="9" spans="1:27" ht="12" thickBot="1" x14ac:dyDescent="0.25">
      <c r="A9" s="12"/>
      <c r="B9" s="13"/>
      <c r="C9" s="13"/>
      <c r="D9" s="13"/>
      <c r="E9" s="13"/>
      <c r="F9" s="13"/>
      <c r="G9" s="48"/>
      <c r="H9" s="48"/>
      <c r="I9" s="48"/>
      <c r="J9" s="48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4"/>
    </row>
    <row r="10" spans="1:27" ht="13.5" customHeight="1" thickTop="1" thickBot="1" x14ac:dyDescent="0.25">
      <c r="A10" s="105" t="s">
        <v>77</v>
      </c>
      <c r="B10" s="105" t="s">
        <v>78</v>
      </c>
      <c r="C10" s="105" t="s">
        <v>79</v>
      </c>
      <c r="D10" s="105" t="s">
        <v>80</v>
      </c>
      <c r="E10" s="105" t="s">
        <v>81</v>
      </c>
      <c r="F10" s="105" t="s">
        <v>82</v>
      </c>
      <c r="G10" s="176" t="s">
        <v>83</v>
      </c>
      <c r="H10" s="177"/>
      <c r="I10" s="177"/>
      <c r="J10" s="177"/>
      <c r="K10" s="177"/>
      <c r="L10" s="177"/>
      <c r="M10" s="177"/>
      <c r="N10" s="177"/>
      <c r="O10" s="177"/>
      <c r="P10" s="177"/>
      <c r="Q10" s="177"/>
      <c r="R10" s="178"/>
      <c r="S10" s="168" t="s">
        <v>84</v>
      </c>
      <c r="T10" s="173" t="s">
        <v>85</v>
      </c>
      <c r="U10" s="174"/>
      <c r="V10" s="174"/>
      <c r="W10" s="174"/>
      <c r="X10" s="175"/>
      <c r="Y10" s="194" t="s">
        <v>86</v>
      </c>
      <c r="Z10" s="234" t="s">
        <v>87</v>
      </c>
    </row>
    <row r="11" spans="1:27" ht="13.5" customHeight="1" thickTop="1" thickBot="1" x14ac:dyDescent="0.25">
      <c r="A11" s="106" t="s">
        <v>88</v>
      </c>
      <c r="B11" s="106" t="s">
        <v>88</v>
      </c>
      <c r="C11" s="106" t="s">
        <v>89</v>
      </c>
      <c r="D11" s="106" t="s">
        <v>90</v>
      </c>
      <c r="E11" s="106"/>
      <c r="F11" s="106"/>
      <c r="G11" s="182" t="s">
        <v>91</v>
      </c>
      <c r="H11" s="183"/>
      <c r="I11" s="183"/>
      <c r="J11" s="184"/>
      <c r="K11" s="191" t="s">
        <v>92</v>
      </c>
      <c r="L11" s="192"/>
      <c r="M11" s="192"/>
      <c r="N11" s="193"/>
      <c r="O11" s="107" t="s">
        <v>93</v>
      </c>
      <c r="P11" s="106" t="s">
        <v>94</v>
      </c>
      <c r="Q11" s="106" t="s">
        <v>95</v>
      </c>
      <c r="R11" s="106" t="s">
        <v>95</v>
      </c>
      <c r="S11" s="169"/>
      <c r="T11" s="247" t="s">
        <v>96</v>
      </c>
      <c r="U11" s="248"/>
      <c r="V11" s="249"/>
      <c r="W11" s="73" t="s">
        <v>95</v>
      </c>
      <c r="X11" s="73" t="s">
        <v>95</v>
      </c>
      <c r="Y11" s="195"/>
      <c r="Z11" s="235"/>
    </row>
    <row r="12" spans="1:27" ht="22.5" customHeight="1" thickTop="1" thickBot="1" x14ac:dyDescent="0.25">
      <c r="A12" s="108" t="s">
        <v>97</v>
      </c>
      <c r="B12" s="108" t="s">
        <v>97</v>
      </c>
      <c r="C12" s="108" t="s">
        <v>97</v>
      </c>
      <c r="D12" s="108" t="s">
        <v>98</v>
      </c>
      <c r="E12" s="108" t="s">
        <v>99</v>
      </c>
      <c r="F12" s="106" t="s">
        <v>100</v>
      </c>
      <c r="G12" s="109" t="s">
        <v>101</v>
      </c>
      <c r="H12" s="109" t="s">
        <v>102</v>
      </c>
      <c r="I12" s="110" t="s">
        <v>103</v>
      </c>
      <c r="J12" s="110" t="s">
        <v>104</v>
      </c>
      <c r="K12" s="111" t="s">
        <v>101</v>
      </c>
      <c r="L12" s="111" t="s">
        <v>105</v>
      </c>
      <c r="M12" s="108" t="s">
        <v>106</v>
      </c>
      <c r="N12" s="110" t="s">
        <v>107</v>
      </c>
      <c r="O12" s="108" t="s">
        <v>108</v>
      </c>
      <c r="P12" s="108" t="s">
        <v>109</v>
      </c>
      <c r="Q12" s="112" t="s">
        <v>110</v>
      </c>
      <c r="R12" s="108" t="s">
        <v>111</v>
      </c>
      <c r="S12" s="170"/>
      <c r="T12" s="75" t="s">
        <v>112</v>
      </c>
      <c r="U12" s="75" t="s">
        <v>113</v>
      </c>
      <c r="V12" s="75" t="s">
        <v>114</v>
      </c>
      <c r="W12" s="74" t="s">
        <v>115</v>
      </c>
      <c r="X12" s="74" t="s">
        <v>116</v>
      </c>
      <c r="Y12" s="196"/>
      <c r="Z12" s="236"/>
    </row>
    <row r="13" spans="1:27" ht="12.75" customHeight="1" thickTop="1" thickBot="1" x14ac:dyDescent="0.25">
      <c r="A13" s="15" t="s">
        <v>5</v>
      </c>
      <c r="B13" s="16" t="str">
        <f t="shared" ref="B13:B42" si="0">IF(ISBLANK(A13),"",IF(ISERROR(VLOOKUP(A13,datosempleados,2,FALSE)),"no existe",VLOOKUP(A13,datosempleados,2,FALSE)))</f>
        <v>Ospina Borja Pedro Nel</v>
      </c>
      <c r="C13" s="16" t="str">
        <f>IF(ISBLANK(A13),"",IF(ISERROR(VLOOKUP(A13,datosempleados,3,FALSE)),"",VLOOKUP(A13,datosempleados,3,FALSE)))</f>
        <v>Digitador</v>
      </c>
      <c r="D13" s="18">
        <v>30</v>
      </c>
      <c r="E13" s="43">
        <f t="shared" ref="E13:E43" si="1">IF(ISBLANK(A13),"",IF(ISERROR(VLOOKUP(A13,datosempleados,5,FALSE)),"",VLOOKUP(A13,datosempleados,5,FALSE)))</f>
        <v>23333.333333333332</v>
      </c>
      <c r="F13" s="44">
        <f>IF(OR(D13="",E13=""),"",D13*E13)</f>
        <v>700000</v>
      </c>
      <c r="G13" s="50">
        <f>IF(C13="","",IF(OR(C13="operario",C13="operaria"),5,0))</f>
        <v>0</v>
      </c>
      <c r="H13" s="50">
        <f>IF(C13="","",IF(OR(C13="operario",C13="operaria"),4,0))</f>
        <v>0</v>
      </c>
      <c r="I13" s="50">
        <f>IF(C13="","",IF(OR(C13="operario",C13="operaria"),2,0))</f>
        <v>0</v>
      </c>
      <c r="J13" s="50">
        <f>IF(C13="","",IF(OR(C13="operario",C13="operaria"),1,0))</f>
        <v>0</v>
      </c>
      <c r="K13" s="40">
        <f>IF(OR(E13="",G13="",$T$47=""),"",(E13/8)*(G13*$T$47))</f>
        <v>0</v>
      </c>
      <c r="L13" s="40">
        <f>IF(OR(E13="",H13="",$T$48=""),"",(E13/8)*(H13*$T$48))</f>
        <v>0</v>
      </c>
      <c r="M13" s="41">
        <f>IF(OR(E13="",I13="",$T$49=""),"",(E13/8)*(I13*$T$49))</f>
        <v>0</v>
      </c>
      <c r="N13" s="41">
        <f>IF(OR(E13="",J13="",$T$50=""),"",(E13/8)*(J13*$T$50))</f>
        <v>0</v>
      </c>
      <c r="O13" s="41">
        <f>IF(OR(K13="",L13="",M13="",N13=""),"",SUM(K13:N13))</f>
        <v>0</v>
      </c>
      <c r="P13" s="42">
        <f>IF(OR(F13="",$R$47="",D13=""),"",IF(F13&lt;1288700,($R$47*D13+20),(0)))</f>
        <v>74000</v>
      </c>
      <c r="Q13" s="19">
        <f>IF(OR(C13="",$R$51="",$R$52=""),"",IF(C13="vendedor",($R$51*$R$52),0))</f>
        <v>0</v>
      </c>
      <c r="R13" s="19">
        <f>IF(OR(F13=""),"",IF(F13&gt;=700000,($R$51*$O$55),($R$51*$P$55)))</f>
        <v>30000</v>
      </c>
      <c r="S13" s="20">
        <f>IF(OR(O13="",P13="",Q13="",R13=""),"",SUM(F13,O13:R13))</f>
        <v>804000</v>
      </c>
      <c r="T13" s="19">
        <f>IF(OR(S13="",P13=""),"",(S13-P13)*$R$48)</f>
        <v>29200</v>
      </c>
      <c r="U13" s="19">
        <f>IF(OR(S13="",P13=""),"",(S13-P13)*$R$49)</f>
        <v>29200</v>
      </c>
      <c r="V13" s="19">
        <f>IF(OR(S13=""),"",IF(S13&gt;2577400,(S13*$R$50),(0)))</f>
        <v>0</v>
      </c>
      <c r="W13" s="19">
        <f>IF(OR(F13="",S13="",O13="",P13=""),"",IF(F13&lt;=700000,(S13*$O$53),(S13*$P$53)))</f>
        <v>40200</v>
      </c>
      <c r="X13" s="19">
        <f>IF(OR(F13="",$O$54="",$P$54=""),"",IF(F13&lt;=700000,(F13*$O$54),(F13*$P$54)))</f>
        <v>3500</v>
      </c>
      <c r="Y13" s="60">
        <f>IF(OR(T13="",U13="",V13="",W13="",X13=""),"",SUM(T13:X13))</f>
        <v>102100</v>
      </c>
      <c r="Z13" s="20">
        <f>IF(OR(S13="",Y13=""),"",S13-Y13)</f>
        <v>701900</v>
      </c>
    </row>
    <row r="14" spans="1:27" ht="12.75" thickTop="1" thickBot="1" x14ac:dyDescent="0.25">
      <c r="A14" s="15" t="s">
        <v>8</v>
      </c>
      <c r="B14" s="16" t="str">
        <f t="shared" si="0"/>
        <v>Andrés Felipe Ramírez</v>
      </c>
      <c r="C14" s="16" t="str">
        <f t="shared" ref="C14:C42" si="2">IF(ISBLANK(A14),"",IF(ISERROR(VLOOKUP(A14,datosempleados,3,FALSE)),"",VLOOKUP(A14,datosempleados,3,FALSE)))</f>
        <v>Vendedor</v>
      </c>
      <c r="D14" s="18">
        <v>30</v>
      </c>
      <c r="E14" s="43">
        <f t="shared" si="1"/>
        <v>20666.666666666668</v>
      </c>
      <c r="F14" s="44">
        <f t="shared" ref="F14:F42" si="3">IF(OR(D14="",E14=""),"",D14*E14)</f>
        <v>620000</v>
      </c>
      <c r="G14" s="50">
        <f t="shared" ref="G14:G42" si="4">IF(C14="","",IF(OR(C14="operario",C14="operaria"),5,0))</f>
        <v>0</v>
      </c>
      <c r="H14" s="50">
        <f t="shared" ref="H14:H42" si="5">IF(C14="","",IF(OR(C14="operario",C14="operaria"),4,0))</f>
        <v>0</v>
      </c>
      <c r="I14" s="50">
        <f t="shared" ref="I14:I42" si="6">IF(C14="","",IF(OR(C14="operario",C14="operaria"),2,0))</f>
        <v>0</v>
      </c>
      <c r="J14" s="50">
        <f t="shared" ref="J14:J42" si="7">IF(C14="","",IF(OR(C14="operario",C14="operaria"),1,0))</f>
        <v>0</v>
      </c>
      <c r="K14" s="40">
        <f t="shared" ref="K14:K42" si="8">IF(OR(E14="",G14="",$T$47=""),"",(E14/8)*(G14*$T$47))</f>
        <v>0</v>
      </c>
      <c r="L14" s="40">
        <f t="shared" ref="L14:L42" si="9">IF(OR(E14="",H14="",$T$48=""),"",(E14/8)*(H14*$T$48))</f>
        <v>0</v>
      </c>
      <c r="M14" s="41">
        <f t="shared" ref="M14:M42" si="10">IF(OR(E14="",I14="",$T$49=""),"",(E14/8)*(I14*$T$49))</f>
        <v>0</v>
      </c>
      <c r="N14" s="41">
        <f t="shared" ref="N14:N42" si="11">IF(OR(E14="",J14="",$T$50=""),"",(E14/8)*(J14*$T$50))</f>
        <v>0</v>
      </c>
      <c r="O14" s="41">
        <f t="shared" ref="O14:O42" si="12">IF(OR(K14="",L14="",M14="",N14=""),"",SUM(K14:N14))</f>
        <v>0</v>
      </c>
      <c r="P14" s="42">
        <f t="shared" ref="P14:P42" si="13">IF(OR(F14="",$R$47="",D14=""),"",IF(F14&lt;1288700,($R$47*D14+20),(0)))</f>
        <v>74000</v>
      </c>
      <c r="Q14" s="19">
        <f t="shared" ref="Q14:Q42" si="14">IF(OR(C14="",$R$51="",$R$52=""),"",IF(C14="vendedor",($R$51*$R$52),0))</f>
        <v>44999.999999999993</v>
      </c>
      <c r="R14" s="19">
        <f t="shared" ref="R14:R42" si="15">IF(OR(F14=""),"",IF(F14&gt;=700000,($R$51*$O$55),($R$51*$P$55)))</f>
        <v>44999.999999999993</v>
      </c>
      <c r="S14" s="20">
        <f t="shared" ref="S14:S42" si="16">IF(OR(O14="",P14="",Q14="",R14=""),"",SUM(F14,O14:R14))</f>
        <v>784000</v>
      </c>
      <c r="T14" s="19">
        <f t="shared" ref="T14:T42" si="17">IF(OR(S14="",P14=""),"",(S14-P14)*$R$48)</f>
        <v>28400</v>
      </c>
      <c r="U14" s="19">
        <f t="shared" ref="U14:U42" si="18">IF(OR(S14="",P14=""),"",(S14-P14)*$R$49)</f>
        <v>28400</v>
      </c>
      <c r="V14" s="19">
        <f t="shared" ref="V14:V42" si="19">IF(OR(S14=""),"",IF(S14&gt;2577400,(S14*$R$50),(0)))</f>
        <v>0</v>
      </c>
      <c r="W14" s="19">
        <f t="shared" ref="W14:W42" si="20">IF(OR(F14="",S14="",O14="",P14=""),"",IF(F14&lt;=700000,(S14*$O$53),(S14*$P$53)))</f>
        <v>39200</v>
      </c>
      <c r="X14" s="19">
        <f t="shared" ref="X14:X42" si="21">IF(OR(F14="",$O$54="",$P$54=""),"",IF(F14&lt;=700000,(F14*$O$54),(F14*$P$54)))</f>
        <v>3100</v>
      </c>
      <c r="Y14" s="60">
        <f t="shared" ref="Y14:Y42" si="22">IF(OR(T14="",U14="",V14="",W14="",X14=""),"",SUM(T14:X14))</f>
        <v>99100</v>
      </c>
      <c r="Z14" s="20">
        <f t="shared" ref="Z14:Z42" si="23">IF(OR(S14="",Y14=""),"",S14-Y14)</f>
        <v>684900</v>
      </c>
    </row>
    <row r="15" spans="1:27" ht="12.75" thickTop="1" thickBot="1" x14ac:dyDescent="0.25">
      <c r="A15" s="15" t="s">
        <v>11</v>
      </c>
      <c r="B15" s="16" t="str">
        <f t="shared" si="0"/>
        <v>Ángela María Hernández</v>
      </c>
      <c r="C15" s="16" t="str">
        <f t="shared" si="2"/>
        <v>Auxiliar Contable</v>
      </c>
      <c r="D15" s="18">
        <v>30</v>
      </c>
      <c r="E15" s="43">
        <f t="shared" si="1"/>
        <v>30000</v>
      </c>
      <c r="F15" s="44">
        <f t="shared" si="3"/>
        <v>900000</v>
      </c>
      <c r="G15" s="50">
        <f t="shared" si="4"/>
        <v>0</v>
      </c>
      <c r="H15" s="50">
        <f t="shared" si="5"/>
        <v>0</v>
      </c>
      <c r="I15" s="50">
        <f t="shared" si="6"/>
        <v>0</v>
      </c>
      <c r="J15" s="50">
        <f t="shared" si="7"/>
        <v>0</v>
      </c>
      <c r="K15" s="40">
        <f t="shared" si="8"/>
        <v>0</v>
      </c>
      <c r="L15" s="40">
        <f t="shared" si="9"/>
        <v>0</v>
      </c>
      <c r="M15" s="41">
        <f t="shared" si="10"/>
        <v>0</v>
      </c>
      <c r="N15" s="41">
        <f t="shared" si="11"/>
        <v>0</v>
      </c>
      <c r="O15" s="41">
        <f t="shared" si="12"/>
        <v>0</v>
      </c>
      <c r="P15" s="42">
        <f t="shared" si="13"/>
        <v>74000</v>
      </c>
      <c r="Q15" s="19">
        <f t="shared" si="14"/>
        <v>0</v>
      </c>
      <c r="R15" s="19">
        <f t="shared" si="15"/>
        <v>30000</v>
      </c>
      <c r="S15" s="20">
        <f t="shared" si="16"/>
        <v>1004000</v>
      </c>
      <c r="T15" s="19">
        <f t="shared" si="17"/>
        <v>37200</v>
      </c>
      <c r="U15" s="19">
        <f t="shared" si="18"/>
        <v>37200</v>
      </c>
      <c r="V15" s="19">
        <f t="shared" si="19"/>
        <v>0</v>
      </c>
      <c r="W15" s="19">
        <f t="shared" si="20"/>
        <v>100400</v>
      </c>
      <c r="X15" s="19">
        <f t="shared" si="21"/>
        <v>18000</v>
      </c>
      <c r="Y15" s="60">
        <f t="shared" si="22"/>
        <v>192800</v>
      </c>
      <c r="Z15" s="20">
        <f t="shared" si="23"/>
        <v>811200</v>
      </c>
    </row>
    <row r="16" spans="1:27" ht="12.75" thickTop="1" thickBot="1" x14ac:dyDescent="0.25">
      <c r="A16" s="15" t="s">
        <v>14</v>
      </c>
      <c r="B16" s="16" t="str">
        <f t="shared" si="0"/>
        <v>Camilo Ceballos</v>
      </c>
      <c r="C16" s="16" t="str">
        <f t="shared" si="2"/>
        <v>Operario</v>
      </c>
      <c r="D16" s="18">
        <v>30</v>
      </c>
      <c r="E16" s="43">
        <f t="shared" si="1"/>
        <v>21478.333333333332</v>
      </c>
      <c r="F16" s="44">
        <f t="shared" si="3"/>
        <v>644350</v>
      </c>
      <c r="G16" s="50">
        <f t="shared" si="4"/>
        <v>5</v>
      </c>
      <c r="H16" s="50">
        <f t="shared" si="5"/>
        <v>4</v>
      </c>
      <c r="I16" s="50">
        <f t="shared" si="6"/>
        <v>2</v>
      </c>
      <c r="J16" s="50">
        <f t="shared" si="7"/>
        <v>1</v>
      </c>
      <c r="K16" s="40">
        <f t="shared" si="8"/>
        <v>16779.947916666664</v>
      </c>
      <c r="L16" s="40">
        <f t="shared" si="9"/>
        <v>18793.541666666664</v>
      </c>
      <c r="M16" s="41">
        <f t="shared" si="10"/>
        <v>12081.5625</v>
      </c>
      <c r="N16" s="41">
        <f t="shared" si="11"/>
        <v>7383.177083333333</v>
      </c>
      <c r="O16" s="41">
        <f t="shared" si="12"/>
        <v>55038.229166666664</v>
      </c>
      <c r="P16" s="42">
        <f t="shared" si="13"/>
        <v>74000</v>
      </c>
      <c r="Q16" s="19">
        <f t="shared" si="14"/>
        <v>0</v>
      </c>
      <c r="R16" s="19">
        <f t="shared" si="15"/>
        <v>44999.999999999993</v>
      </c>
      <c r="S16" s="20">
        <f t="shared" si="16"/>
        <v>818388.22916666663</v>
      </c>
      <c r="T16" s="19">
        <f t="shared" si="17"/>
        <v>29775.529166666667</v>
      </c>
      <c r="U16" s="19">
        <f t="shared" si="18"/>
        <v>29775.529166666667</v>
      </c>
      <c r="V16" s="19">
        <f t="shared" si="19"/>
        <v>0</v>
      </c>
      <c r="W16" s="19">
        <f t="shared" si="20"/>
        <v>40919.411458333336</v>
      </c>
      <c r="X16" s="19">
        <f t="shared" si="21"/>
        <v>3221.75</v>
      </c>
      <c r="Y16" s="60">
        <f t="shared" si="22"/>
        <v>103692.21979166666</v>
      </c>
      <c r="Z16" s="20">
        <f t="shared" si="23"/>
        <v>714696.00937499991</v>
      </c>
    </row>
    <row r="17" spans="1:26" ht="12.75" thickTop="1" thickBot="1" x14ac:dyDescent="0.25">
      <c r="A17" s="15" t="s">
        <v>17</v>
      </c>
      <c r="B17" s="16" t="str">
        <f t="shared" si="0"/>
        <v>Carlos Andrés Giraldo</v>
      </c>
      <c r="C17" s="16" t="str">
        <f t="shared" si="2"/>
        <v>Secretaria</v>
      </c>
      <c r="D17" s="18">
        <v>30</v>
      </c>
      <c r="E17" s="43">
        <f t="shared" si="1"/>
        <v>25000</v>
      </c>
      <c r="F17" s="44">
        <f t="shared" si="3"/>
        <v>750000</v>
      </c>
      <c r="G17" s="50">
        <f t="shared" si="4"/>
        <v>0</v>
      </c>
      <c r="H17" s="50">
        <f t="shared" si="5"/>
        <v>0</v>
      </c>
      <c r="I17" s="50">
        <f t="shared" si="6"/>
        <v>0</v>
      </c>
      <c r="J17" s="50">
        <f t="shared" si="7"/>
        <v>0</v>
      </c>
      <c r="K17" s="40">
        <f t="shared" si="8"/>
        <v>0</v>
      </c>
      <c r="L17" s="40">
        <f t="shared" si="9"/>
        <v>0</v>
      </c>
      <c r="M17" s="41">
        <f t="shared" si="10"/>
        <v>0</v>
      </c>
      <c r="N17" s="41">
        <f t="shared" si="11"/>
        <v>0</v>
      </c>
      <c r="O17" s="41">
        <f t="shared" si="12"/>
        <v>0</v>
      </c>
      <c r="P17" s="42">
        <f t="shared" si="13"/>
        <v>74000</v>
      </c>
      <c r="Q17" s="19">
        <f t="shared" si="14"/>
        <v>0</v>
      </c>
      <c r="R17" s="19">
        <f t="shared" si="15"/>
        <v>30000</v>
      </c>
      <c r="S17" s="20">
        <f t="shared" si="16"/>
        <v>854000</v>
      </c>
      <c r="T17" s="19">
        <f t="shared" si="17"/>
        <v>31200</v>
      </c>
      <c r="U17" s="19">
        <f t="shared" si="18"/>
        <v>31200</v>
      </c>
      <c r="V17" s="19">
        <f t="shared" si="19"/>
        <v>0</v>
      </c>
      <c r="W17" s="19">
        <f t="shared" si="20"/>
        <v>85400</v>
      </c>
      <c r="X17" s="19">
        <f t="shared" si="21"/>
        <v>15000</v>
      </c>
      <c r="Y17" s="60">
        <f t="shared" si="22"/>
        <v>162800</v>
      </c>
      <c r="Z17" s="20">
        <f t="shared" si="23"/>
        <v>691200</v>
      </c>
    </row>
    <row r="18" spans="1:26" ht="12.75" thickTop="1" thickBot="1" x14ac:dyDescent="0.25">
      <c r="A18" s="15" t="s">
        <v>20</v>
      </c>
      <c r="B18" s="16" t="str">
        <f t="shared" si="0"/>
        <v>Carlos Mario Quiroz</v>
      </c>
      <c r="C18" s="16" t="str">
        <f t="shared" si="2"/>
        <v>Vendedor</v>
      </c>
      <c r="D18" s="18">
        <v>30</v>
      </c>
      <c r="E18" s="43">
        <f t="shared" si="1"/>
        <v>20666.666666666668</v>
      </c>
      <c r="F18" s="44">
        <f t="shared" si="3"/>
        <v>620000</v>
      </c>
      <c r="G18" s="50">
        <f t="shared" si="4"/>
        <v>0</v>
      </c>
      <c r="H18" s="50">
        <f t="shared" si="5"/>
        <v>0</v>
      </c>
      <c r="I18" s="50">
        <f t="shared" si="6"/>
        <v>0</v>
      </c>
      <c r="J18" s="50">
        <f t="shared" si="7"/>
        <v>0</v>
      </c>
      <c r="K18" s="40">
        <f t="shared" si="8"/>
        <v>0</v>
      </c>
      <c r="L18" s="40">
        <f t="shared" si="9"/>
        <v>0</v>
      </c>
      <c r="M18" s="41">
        <f t="shared" si="10"/>
        <v>0</v>
      </c>
      <c r="N18" s="41">
        <f t="shared" si="11"/>
        <v>0</v>
      </c>
      <c r="O18" s="41">
        <f t="shared" si="12"/>
        <v>0</v>
      </c>
      <c r="P18" s="42">
        <f t="shared" si="13"/>
        <v>74000</v>
      </c>
      <c r="Q18" s="19">
        <f t="shared" si="14"/>
        <v>44999.999999999993</v>
      </c>
      <c r="R18" s="19">
        <f t="shared" si="15"/>
        <v>44999.999999999993</v>
      </c>
      <c r="S18" s="20">
        <f t="shared" si="16"/>
        <v>784000</v>
      </c>
      <c r="T18" s="19">
        <f t="shared" si="17"/>
        <v>28400</v>
      </c>
      <c r="U18" s="19">
        <f t="shared" si="18"/>
        <v>28400</v>
      </c>
      <c r="V18" s="19">
        <f t="shared" si="19"/>
        <v>0</v>
      </c>
      <c r="W18" s="19">
        <f t="shared" si="20"/>
        <v>39200</v>
      </c>
      <c r="X18" s="19">
        <f t="shared" si="21"/>
        <v>3100</v>
      </c>
      <c r="Y18" s="60">
        <f t="shared" si="22"/>
        <v>99100</v>
      </c>
      <c r="Z18" s="20">
        <f t="shared" si="23"/>
        <v>684900</v>
      </c>
    </row>
    <row r="19" spans="1:26" ht="12.75" thickTop="1" thickBot="1" x14ac:dyDescent="0.25">
      <c r="A19" s="15" t="s">
        <v>22</v>
      </c>
      <c r="B19" s="16" t="str">
        <f t="shared" si="0"/>
        <v>Carolina Rodríguez</v>
      </c>
      <c r="C19" s="16" t="str">
        <f t="shared" si="2"/>
        <v>Aseadora</v>
      </c>
      <c r="D19" s="18">
        <v>30</v>
      </c>
      <c r="E19" s="43">
        <f t="shared" si="1"/>
        <v>21478.333333333332</v>
      </c>
      <c r="F19" s="44">
        <f t="shared" si="3"/>
        <v>644350</v>
      </c>
      <c r="G19" s="50">
        <f t="shared" si="4"/>
        <v>0</v>
      </c>
      <c r="H19" s="50">
        <f t="shared" si="5"/>
        <v>0</v>
      </c>
      <c r="I19" s="50">
        <f t="shared" si="6"/>
        <v>0</v>
      </c>
      <c r="J19" s="50">
        <f t="shared" si="7"/>
        <v>0</v>
      </c>
      <c r="K19" s="40">
        <f t="shared" si="8"/>
        <v>0</v>
      </c>
      <c r="L19" s="40">
        <f t="shared" si="9"/>
        <v>0</v>
      </c>
      <c r="M19" s="41">
        <f t="shared" si="10"/>
        <v>0</v>
      </c>
      <c r="N19" s="41">
        <f t="shared" si="11"/>
        <v>0</v>
      </c>
      <c r="O19" s="41">
        <f t="shared" si="12"/>
        <v>0</v>
      </c>
      <c r="P19" s="42">
        <f t="shared" si="13"/>
        <v>74000</v>
      </c>
      <c r="Q19" s="19">
        <f t="shared" si="14"/>
        <v>0</v>
      </c>
      <c r="R19" s="19">
        <f t="shared" si="15"/>
        <v>44999.999999999993</v>
      </c>
      <c r="S19" s="20">
        <f t="shared" si="16"/>
        <v>763350</v>
      </c>
      <c r="T19" s="19">
        <f t="shared" si="17"/>
        <v>27574</v>
      </c>
      <c r="U19" s="19">
        <f t="shared" si="18"/>
        <v>27574</v>
      </c>
      <c r="V19" s="19">
        <f t="shared" si="19"/>
        <v>0</v>
      </c>
      <c r="W19" s="19">
        <f t="shared" si="20"/>
        <v>38167.5</v>
      </c>
      <c r="X19" s="19">
        <f t="shared" si="21"/>
        <v>3221.75</v>
      </c>
      <c r="Y19" s="60">
        <f t="shared" si="22"/>
        <v>96537.25</v>
      </c>
      <c r="Z19" s="20">
        <f t="shared" si="23"/>
        <v>666812.75</v>
      </c>
    </row>
    <row r="20" spans="1:26" ht="12.75" thickTop="1" thickBot="1" x14ac:dyDescent="0.25">
      <c r="A20" s="15" t="s">
        <v>25</v>
      </c>
      <c r="B20" s="16" t="str">
        <f t="shared" si="0"/>
        <v>Claudia González</v>
      </c>
      <c r="C20" s="16" t="str">
        <f t="shared" si="2"/>
        <v>Vendedor</v>
      </c>
      <c r="D20" s="18">
        <v>25</v>
      </c>
      <c r="E20" s="43">
        <f t="shared" si="1"/>
        <v>20666.666666666668</v>
      </c>
      <c r="F20" s="44">
        <f t="shared" si="3"/>
        <v>516666.66666666669</v>
      </c>
      <c r="G20" s="50">
        <f t="shared" si="4"/>
        <v>0</v>
      </c>
      <c r="H20" s="50">
        <f t="shared" si="5"/>
        <v>0</v>
      </c>
      <c r="I20" s="50">
        <f t="shared" si="6"/>
        <v>0</v>
      </c>
      <c r="J20" s="50">
        <f t="shared" si="7"/>
        <v>0</v>
      </c>
      <c r="K20" s="40">
        <f t="shared" si="8"/>
        <v>0</v>
      </c>
      <c r="L20" s="40">
        <f t="shared" si="9"/>
        <v>0</v>
      </c>
      <c r="M20" s="41">
        <f t="shared" si="10"/>
        <v>0</v>
      </c>
      <c r="N20" s="41">
        <f t="shared" si="11"/>
        <v>0</v>
      </c>
      <c r="O20" s="41">
        <f t="shared" si="12"/>
        <v>0</v>
      </c>
      <c r="P20" s="42">
        <f t="shared" si="13"/>
        <v>61670</v>
      </c>
      <c r="Q20" s="19">
        <f t="shared" si="14"/>
        <v>44999.999999999993</v>
      </c>
      <c r="R20" s="19">
        <f t="shared" si="15"/>
        <v>44999.999999999993</v>
      </c>
      <c r="S20" s="20">
        <f t="shared" si="16"/>
        <v>668336.66666666674</v>
      </c>
      <c r="T20" s="19">
        <f t="shared" si="17"/>
        <v>24266.666666666672</v>
      </c>
      <c r="U20" s="19">
        <f t="shared" si="18"/>
        <v>24266.666666666672</v>
      </c>
      <c r="V20" s="19">
        <f t="shared" si="19"/>
        <v>0</v>
      </c>
      <c r="W20" s="19">
        <f t="shared" si="20"/>
        <v>33416.833333333336</v>
      </c>
      <c r="X20" s="19">
        <f t="shared" si="21"/>
        <v>2583.3333333333335</v>
      </c>
      <c r="Y20" s="60">
        <f t="shared" si="22"/>
        <v>84533.500000000015</v>
      </c>
      <c r="Z20" s="20">
        <f t="shared" si="23"/>
        <v>583803.16666666674</v>
      </c>
    </row>
    <row r="21" spans="1:26" ht="12.75" thickTop="1" thickBot="1" x14ac:dyDescent="0.25">
      <c r="A21" s="15" t="s">
        <v>27</v>
      </c>
      <c r="B21" s="16" t="str">
        <f t="shared" si="0"/>
        <v>Diana López</v>
      </c>
      <c r="C21" s="16" t="str">
        <f t="shared" si="2"/>
        <v>Secretaria</v>
      </c>
      <c r="D21" s="18">
        <v>30</v>
      </c>
      <c r="E21" s="43">
        <f t="shared" si="1"/>
        <v>25000</v>
      </c>
      <c r="F21" s="44">
        <f t="shared" si="3"/>
        <v>750000</v>
      </c>
      <c r="G21" s="50">
        <f t="shared" si="4"/>
        <v>0</v>
      </c>
      <c r="H21" s="50">
        <f t="shared" si="5"/>
        <v>0</v>
      </c>
      <c r="I21" s="50">
        <f t="shared" si="6"/>
        <v>0</v>
      </c>
      <c r="J21" s="50">
        <f t="shared" si="7"/>
        <v>0</v>
      </c>
      <c r="K21" s="40">
        <f t="shared" si="8"/>
        <v>0</v>
      </c>
      <c r="L21" s="40">
        <f t="shared" si="9"/>
        <v>0</v>
      </c>
      <c r="M21" s="41">
        <f t="shared" si="10"/>
        <v>0</v>
      </c>
      <c r="N21" s="41">
        <f>IF(OR(E21="",J21="",$T$50=""),"",(E21/8)*(J21*$T$50))</f>
        <v>0</v>
      </c>
      <c r="O21" s="41">
        <f t="shared" si="12"/>
        <v>0</v>
      </c>
      <c r="P21" s="42">
        <f t="shared" si="13"/>
        <v>74000</v>
      </c>
      <c r="Q21" s="19">
        <f t="shared" si="14"/>
        <v>0</v>
      </c>
      <c r="R21" s="19">
        <f t="shared" si="15"/>
        <v>30000</v>
      </c>
      <c r="S21" s="20">
        <f t="shared" si="16"/>
        <v>854000</v>
      </c>
      <c r="T21" s="19">
        <f t="shared" si="17"/>
        <v>31200</v>
      </c>
      <c r="U21" s="19">
        <f t="shared" si="18"/>
        <v>31200</v>
      </c>
      <c r="V21" s="19">
        <f t="shared" si="19"/>
        <v>0</v>
      </c>
      <c r="W21" s="19">
        <f t="shared" si="20"/>
        <v>85400</v>
      </c>
      <c r="X21" s="19">
        <f t="shared" si="21"/>
        <v>15000</v>
      </c>
      <c r="Y21" s="60">
        <f t="shared" si="22"/>
        <v>162800</v>
      </c>
      <c r="Z21" s="20">
        <f t="shared" si="23"/>
        <v>691200</v>
      </c>
    </row>
    <row r="22" spans="1:26" ht="12.75" thickTop="1" thickBot="1" x14ac:dyDescent="0.25">
      <c r="A22" s="15" t="s">
        <v>29</v>
      </c>
      <c r="B22" s="16" t="str">
        <f t="shared" si="0"/>
        <v>Didier Alejandro Sánchez</v>
      </c>
      <c r="C22" s="16" t="str">
        <f t="shared" si="2"/>
        <v>Digitador</v>
      </c>
      <c r="D22" s="18">
        <v>30</v>
      </c>
      <c r="E22" s="43">
        <f t="shared" si="1"/>
        <v>23333.333333333332</v>
      </c>
      <c r="F22" s="44">
        <f t="shared" si="3"/>
        <v>700000</v>
      </c>
      <c r="G22" s="50">
        <f t="shared" si="4"/>
        <v>0</v>
      </c>
      <c r="H22" s="50">
        <f t="shared" si="5"/>
        <v>0</v>
      </c>
      <c r="I22" s="50">
        <f t="shared" si="6"/>
        <v>0</v>
      </c>
      <c r="J22" s="50">
        <f t="shared" si="7"/>
        <v>0</v>
      </c>
      <c r="K22" s="40">
        <f t="shared" si="8"/>
        <v>0</v>
      </c>
      <c r="L22" s="40">
        <f t="shared" si="9"/>
        <v>0</v>
      </c>
      <c r="M22" s="41">
        <f t="shared" si="10"/>
        <v>0</v>
      </c>
      <c r="N22" s="41">
        <f t="shared" si="11"/>
        <v>0</v>
      </c>
      <c r="O22" s="41">
        <f t="shared" si="12"/>
        <v>0</v>
      </c>
      <c r="P22" s="42">
        <f t="shared" si="13"/>
        <v>74000</v>
      </c>
      <c r="Q22" s="19">
        <f t="shared" si="14"/>
        <v>0</v>
      </c>
      <c r="R22" s="19">
        <f t="shared" si="15"/>
        <v>30000</v>
      </c>
      <c r="S22" s="20">
        <f t="shared" si="16"/>
        <v>804000</v>
      </c>
      <c r="T22" s="19">
        <f t="shared" si="17"/>
        <v>29200</v>
      </c>
      <c r="U22" s="19">
        <f t="shared" si="18"/>
        <v>29200</v>
      </c>
      <c r="V22" s="19">
        <f t="shared" si="19"/>
        <v>0</v>
      </c>
      <c r="W22" s="19">
        <f t="shared" si="20"/>
        <v>40200</v>
      </c>
      <c r="X22" s="19">
        <f t="shared" si="21"/>
        <v>3500</v>
      </c>
      <c r="Y22" s="60">
        <f t="shared" si="22"/>
        <v>102100</v>
      </c>
      <c r="Z22" s="20">
        <f t="shared" si="23"/>
        <v>701900</v>
      </c>
    </row>
    <row r="23" spans="1:26" ht="12.75" thickTop="1" thickBot="1" x14ac:dyDescent="0.25">
      <c r="A23" s="15" t="s">
        <v>31</v>
      </c>
      <c r="B23" s="16" t="str">
        <f t="shared" si="0"/>
        <v>Dora Luz Montoya</v>
      </c>
      <c r="C23" s="16" t="str">
        <f t="shared" si="2"/>
        <v>Auxiliar Contable</v>
      </c>
      <c r="D23" s="18">
        <v>30</v>
      </c>
      <c r="E23" s="43">
        <f t="shared" si="1"/>
        <v>30000</v>
      </c>
      <c r="F23" s="44">
        <f t="shared" si="3"/>
        <v>900000</v>
      </c>
      <c r="G23" s="50">
        <f t="shared" si="4"/>
        <v>0</v>
      </c>
      <c r="H23" s="50">
        <f t="shared" si="5"/>
        <v>0</v>
      </c>
      <c r="I23" s="50">
        <f t="shared" si="6"/>
        <v>0</v>
      </c>
      <c r="J23" s="50">
        <f t="shared" si="7"/>
        <v>0</v>
      </c>
      <c r="K23" s="40">
        <f t="shared" si="8"/>
        <v>0</v>
      </c>
      <c r="L23" s="40">
        <f t="shared" si="9"/>
        <v>0</v>
      </c>
      <c r="M23" s="41">
        <f t="shared" si="10"/>
        <v>0</v>
      </c>
      <c r="N23" s="41">
        <f t="shared" si="11"/>
        <v>0</v>
      </c>
      <c r="O23" s="41">
        <f t="shared" si="12"/>
        <v>0</v>
      </c>
      <c r="P23" s="42">
        <f t="shared" si="13"/>
        <v>74000</v>
      </c>
      <c r="Q23" s="19">
        <f t="shared" si="14"/>
        <v>0</v>
      </c>
      <c r="R23" s="19">
        <f t="shared" si="15"/>
        <v>30000</v>
      </c>
      <c r="S23" s="20">
        <f t="shared" si="16"/>
        <v>1004000</v>
      </c>
      <c r="T23" s="19">
        <f t="shared" si="17"/>
        <v>37200</v>
      </c>
      <c r="U23" s="19">
        <f t="shared" si="18"/>
        <v>37200</v>
      </c>
      <c r="V23" s="19">
        <f t="shared" si="19"/>
        <v>0</v>
      </c>
      <c r="W23" s="19">
        <f t="shared" si="20"/>
        <v>100400</v>
      </c>
      <c r="X23" s="19">
        <f t="shared" si="21"/>
        <v>18000</v>
      </c>
      <c r="Y23" s="60">
        <f t="shared" si="22"/>
        <v>192800</v>
      </c>
      <c r="Z23" s="20">
        <f t="shared" si="23"/>
        <v>811200</v>
      </c>
    </row>
    <row r="24" spans="1:26" ht="12.75" thickTop="1" thickBot="1" x14ac:dyDescent="0.25">
      <c r="A24" s="15" t="s">
        <v>33</v>
      </c>
      <c r="B24" s="16" t="str">
        <f t="shared" si="0"/>
        <v>Doralba Galeano</v>
      </c>
      <c r="C24" s="16" t="str">
        <f t="shared" si="2"/>
        <v>Operaria</v>
      </c>
      <c r="D24" s="18">
        <v>30</v>
      </c>
      <c r="E24" s="43">
        <f t="shared" si="1"/>
        <v>21478.333333333332</v>
      </c>
      <c r="F24" s="44">
        <f t="shared" si="3"/>
        <v>644350</v>
      </c>
      <c r="G24" s="50">
        <f t="shared" si="4"/>
        <v>5</v>
      </c>
      <c r="H24" s="50">
        <f t="shared" si="5"/>
        <v>4</v>
      </c>
      <c r="I24" s="50">
        <f t="shared" si="6"/>
        <v>2</v>
      </c>
      <c r="J24" s="50">
        <f t="shared" si="7"/>
        <v>1</v>
      </c>
      <c r="K24" s="40">
        <f t="shared" si="8"/>
        <v>16779.947916666664</v>
      </c>
      <c r="L24" s="40">
        <f t="shared" si="9"/>
        <v>18793.541666666664</v>
      </c>
      <c r="M24" s="41">
        <f t="shared" si="10"/>
        <v>12081.5625</v>
      </c>
      <c r="N24" s="41">
        <f t="shared" si="11"/>
        <v>7383.177083333333</v>
      </c>
      <c r="O24" s="41">
        <f t="shared" si="12"/>
        <v>55038.229166666664</v>
      </c>
      <c r="P24" s="42">
        <f t="shared" si="13"/>
        <v>74000</v>
      </c>
      <c r="Q24" s="19">
        <f t="shared" si="14"/>
        <v>0</v>
      </c>
      <c r="R24" s="19">
        <f t="shared" si="15"/>
        <v>44999.999999999993</v>
      </c>
      <c r="S24" s="20">
        <f t="shared" si="16"/>
        <v>818388.22916666663</v>
      </c>
      <c r="T24" s="19">
        <f t="shared" si="17"/>
        <v>29775.529166666667</v>
      </c>
      <c r="U24" s="19">
        <f t="shared" si="18"/>
        <v>29775.529166666667</v>
      </c>
      <c r="V24" s="19">
        <f t="shared" si="19"/>
        <v>0</v>
      </c>
      <c r="W24" s="19">
        <f t="shared" si="20"/>
        <v>40919.411458333336</v>
      </c>
      <c r="X24" s="19">
        <f t="shared" si="21"/>
        <v>3221.75</v>
      </c>
      <c r="Y24" s="60">
        <f t="shared" si="22"/>
        <v>103692.21979166666</v>
      </c>
      <c r="Z24" s="20">
        <f t="shared" si="23"/>
        <v>714696.00937499991</v>
      </c>
    </row>
    <row r="25" spans="1:26" ht="12.75" thickTop="1" thickBot="1" x14ac:dyDescent="0.25">
      <c r="A25" s="15" t="s">
        <v>36</v>
      </c>
      <c r="B25" s="16" t="str">
        <f t="shared" si="0"/>
        <v>Eliana Marcela Aguirre</v>
      </c>
      <c r="C25" s="16" t="str">
        <f t="shared" si="2"/>
        <v>Gerente</v>
      </c>
      <c r="D25" s="18">
        <v>30</v>
      </c>
      <c r="E25" s="43">
        <f t="shared" si="1"/>
        <v>233333.33333333334</v>
      </c>
      <c r="F25" s="44">
        <f t="shared" si="3"/>
        <v>7000000</v>
      </c>
      <c r="G25" s="50">
        <f t="shared" si="4"/>
        <v>0</v>
      </c>
      <c r="H25" s="50">
        <f t="shared" si="5"/>
        <v>0</v>
      </c>
      <c r="I25" s="50">
        <f t="shared" si="6"/>
        <v>0</v>
      </c>
      <c r="J25" s="50">
        <f t="shared" si="7"/>
        <v>0</v>
      </c>
      <c r="K25" s="40">
        <f t="shared" si="8"/>
        <v>0</v>
      </c>
      <c r="L25" s="40">
        <f t="shared" si="9"/>
        <v>0</v>
      </c>
      <c r="M25" s="41">
        <f t="shared" si="10"/>
        <v>0</v>
      </c>
      <c r="N25" s="41">
        <f t="shared" si="11"/>
        <v>0</v>
      </c>
      <c r="O25" s="41">
        <f t="shared" si="12"/>
        <v>0</v>
      </c>
      <c r="P25" s="42">
        <f t="shared" si="13"/>
        <v>0</v>
      </c>
      <c r="Q25" s="19">
        <f t="shared" si="14"/>
        <v>0</v>
      </c>
      <c r="R25" s="19">
        <f t="shared" si="15"/>
        <v>30000</v>
      </c>
      <c r="S25" s="20">
        <f t="shared" si="16"/>
        <v>7030000</v>
      </c>
      <c r="T25" s="19">
        <f t="shared" si="17"/>
        <v>281200</v>
      </c>
      <c r="U25" s="19">
        <f t="shared" si="18"/>
        <v>281200</v>
      </c>
      <c r="V25" s="19">
        <f t="shared" si="19"/>
        <v>70300</v>
      </c>
      <c r="W25" s="19">
        <f t="shared" si="20"/>
        <v>703000</v>
      </c>
      <c r="X25" s="19">
        <f t="shared" si="21"/>
        <v>140000</v>
      </c>
      <c r="Y25" s="60">
        <f t="shared" si="22"/>
        <v>1475700</v>
      </c>
      <c r="Z25" s="20">
        <f t="shared" si="23"/>
        <v>5554300</v>
      </c>
    </row>
    <row r="26" spans="1:26" ht="12.75" thickTop="1" thickBot="1" x14ac:dyDescent="0.25">
      <c r="A26" s="15" t="s">
        <v>39</v>
      </c>
      <c r="B26" s="16" t="str">
        <f t="shared" si="0"/>
        <v>Francy Ruby Román</v>
      </c>
      <c r="C26" s="16" t="str">
        <f t="shared" si="2"/>
        <v>Auxiliar Contable</v>
      </c>
      <c r="D26" s="18">
        <v>30</v>
      </c>
      <c r="E26" s="43">
        <f t="shared" si="1"/>
        <v>30000</v>
      </c>
      <c r="F26" s="44">
        <f t="shared" si="3"/>
        <v>900000</v>
      </c>
      <c r="G26" s="50">
        <f t="shared" si="4"/>
        <v>0</v>
      </c>
      <c r="H26" s="50">
        <f t="shared" si="5"/>
        <v>0</v>
      </c>
      <c r="I26" s="50">
        <f t="shared" si="6"/>
        <v>0</v>
      </c>
      <c r="J26" s="50">
        <f t="shared" si="7"/>
        <v>0</v>
      </c>
      <c r="K26" s="40">
        <f t="shared" si="8"/>
        <v>0</v>
      </c>
      <c r="L26" s="40">
        <f t="shared" si="9"/>
        <v>0</v>
      </c>
      <c r="M26" s="41">
        <f t="shared" si="10"/>
        <v>0</v>
      </c>
      <c r="N26" s="41">
        <f t="shared" si="11"/>
        <v>0</v>
      </c>
      <c r="O26" s="41">
        <f t="shared" si="12"/>
        <v>0</v>
      </c>
      <c r="P26" s="42">
        <f t="shared" si="13"/>
        <v>74000</v>
      </c>
      <c r="Q26" s="19">
        <f t="shared" si="14"/>
        <v>0</v>
      </c>
      <c r="R26" s="19">
        <f t="shared" si="15"/>
        <v>30000</v>
      </c>
      <c r="S26" s="20">
        <f t="shared" si="16"/>
        <v>1004000</v>
      </c>
      <c r="T26" s="19">
        <f t="shared" si="17"/>
        <v>37200</v>
      </c>
      <c r="U26" s="19">
        <f t="shared" si="18"/>
        <v>37200</v>
      </c>
      <c r="V26" s="19">
        <f t="shared" si="19"/>
        <v>0</v>
      </c>
      <c r="W26" s="19">
        <f t="shared" si="20"/>
        <v>100400</v>
      </c>
      <c r="X26" s="19">
        <f t="shared" si="21"/>
        <v>18000</v>
      </c>
      <c r="Y26" s="60">
        <f t="shared" si="22"/>
        <v>192800</v>
      </c>
      <c r="Z26" s="20">
        <f t="shared" si="23"/>
        <v>811200</v>
      </c>
    </row>
    <row r="27" spans="1:26" ht="12.75" thickTop="1" thickBot="1" x14ac:dyDescent="0.25">
      <c r="A27" s="15" t="s">
        <v>41</v>
      </c>
      <c r="B27" s="16" t="str">
        <f t="shared" si="0"/>
        <v>Hernán Darío Hernández</v>
      </c>
      <c r="C27" s="16" t="str">
        <f t="shared" si="2"/>
        <v>Vendedor</v>
      </c>
      <c r="D27" s="18">
        <v>30</v>
      </c>
      <c r="E27" s="43">
        <f t="shared" si="1"/>
        <v>20666.666666666668</v>
      </c>
      <c r="F27" s="44">
        <f t="shared" si="3"/>
        <v>620000</v>
      </c>
      <c r="G27" s="50">
        <f t="shared" si="4"/>
        <v>0</v>
      </c>
      <c r="H27" s="50">
        <f t="shared" si="5"/>
        <v>0</v>
      </c>
      <c r="I27" s="50">
        <f t="shared" si="6"/>
        <v>0</v>
      </c>
      <c r="J27" s="50">
        <f t="shared" si="7"/>
        <v>0</v>
      </c>
      <c r="K27" s="40">
        <f t="shared" si="8"/>
        <v>0</v>
      </c>
      <c r="L27" s="40">
        <f t="shared" si="9"/>
        <v>0</v>
      </c>
      <c r="M27" s="41">
        <f t="shared" si="10"/>
        <v>0</v>
      </c>
      <c r="N27" s="41">
        <f t="shared" si="11"/>
        <v>0</v>
      </c>
      <c r="O27" s="41">
        <f t="shared" si="12"/>
        <v>0</v>
      </c>
      <c r="P27" s="42">
        <f t="shared" si="13"/>
        <v>74000</v>
      </c>
      <c r="Q27" s="19">
        <f t="shared" si="14"/>
        <v>44999.999999999993</v>
      </c>
      <c r="R27" s="19">
        <f t="shared" si="15"/>
        <v>44999.999999999993</v>
      </c>
      <c r="S27" s="20">
        <f t="shared" si="16"/>
        <v>784000</v>
      </c>
      <c r="T27" s="19">
        <f t="shared" si="17"/>
        <v>28400</v>
      </c>
      <c r="U27" s="19">
        <f t="shared" si="18"/>
        <v>28400</v>
      </c>
      <c r="V27" s="19">
        <f t="shared" si="19"/>
        <v>0</v>
      </c>
      <c r="W27" s="19">
        <f t="shared" si="20"/>
        <v>39200</v>
      </c>
      <c r="X27" s="19">
        <f t="shared" si="21"/>
        <v>3100</v>
      </c>
      <c r="Y27" s="60">
        <f t="shared" si="22"/>
        <v>99100</v>
      </c>
      <c r="Z27" s="20">
        <f t="shared" si="23"/>
        <v>684900</v>
      </c>
    </row>
    <row r="28" spans="1:26" ht="12.75" thickTop="1" thickBot="1" x14ac:dyDescent="0.25">
      <c r="A28" s="15" t="s">
        <v>43</v>
      </c>
      <c r="B28" s="16" t="str">
        <f t="shared" si="0"/>
        <v>Leidy Maritza Herrera</v>
      </c>
      <c r="C28" s="16" t="str">
        <f t="shared" si="2"/>
        <v>Operaria</v>
      </c>
      <c r="D28" s="18">
        <v>30</v>
      </c>
      <c r="E28" s="43">
        <f t="shared" si="1"/>
        <v>21478.333333333332</v>
      </c>
      <c r="F28" s="44">
        <f t="shared" si="3"/>
        <v>644350</v>
      </c>
      <c r="G28" s="50">
        <f t="shared" si="4"/>
        <v>5</v>
      </c>
      <c r="H28" s="50">
        <f t="shared" si="5"/>
        <v>4</v>
      </c>
      <c r="I28" s="50">
        <f t="shared" si="6"/>
        <v>2</v>
      </c>
      <c r="J28" s="50">
        <f t="shared" si="7"/>
        <v>1</v>
      </c>
      <c r="K28" s="40">
        <f t="shared" si="8"/>
        <v>16779.947916666664</v>
      </c>
      <c r="L28" s="40">
        <f t="shared" si="9"/>
        <v>18793.541666666664</v>
      </c>
      <c r="M28" s="41">
        <f t="shared" si="10"/>
        <v>12081.5625</v>
      </c>
      <c r="N28" s="41">
        <f t="shared" si="11"/>
        <v>7383.177083333333</v>
      </c>
      <c r="O28" s="41">
        <f t="shared" si="12"/>
        <v>55038.229166666664</v>
      </c>
      <c r="P28" s="42">
        <f t="shared" si="13"/>
        <v>74000</v>
      </c>
      <c r="Q28" s="19">
        <f t="shared" si="14"/>
        <v>0</v>
      </c>
      <c r="R28" s="19">
        <f t="shared" si="15"/>
        <v>44999.999999999993</v>
      </c>
      <c r="S28" s="20">
        <f t="shared" si="16"/>
        <v>818388.22916666663</v>
      </c>
      <c r="T28" s="19">
        <f t="shared" si="17"/>
        <v>29775.529166666667</v>
      </c>
      <c r="U28" s="19">
        <f t="shared" si="18"/>
        <v>29775.529166666667</v>
      </c>
      <c r="V28" s="19">
        <f t="shared" si="19"/>
        <v>0</v>
      </c>
      <c r="W28" s="19">
        <f t="shared" si="20"/>
        <v>40919.411458333336</v>
      </c>
      <c r="X28" s="19">
        <f t="shared" si="21"/>
        <v>3221.75</v>
      </c>
      <c r="Y28" s="60">
        <f t="shared" si="22"/>
        <v>103692.21979166666</v>
      </c>
      <c r="Z28" s="20">
        <f t="shared" si="23"/>
        <v>714696.00937499991</v>
      </c>
    </row>
    <row r="29" spans="1:26" ht="12.75" thickTop="1" thickBot="1" x14ac:dyDescent="0.25">
      <c r="A29" s="15" t="s">
        <v>45</v>
      </c>
      <c r="B29" s="16" t="str">
        <f t="shared" si="0"/>
        <v>Leidy Rosalía Galvis</v>
      </c>
      <c r="C29" s="16" t="str">
        <f t="shared" si="2"/>
        <v>Auxiliar Contable</v>
      </c>
      <c r="D29" s="18">
        <v>30</v>
      </c>
      <c r="E29" s="43">
        <f t="shared" si="1"/>
        <v>30000</v>
      </c>
      <c r="F29" s="44">
        <f t="shared" si="3"/>
        <v>900000</v>
      </c>
      <c r="G29" s="50">
        <f t="shared" si="4"/>
        <v>0</v>
      </c>
      <c r="H29" s="50">
        <f t="shared" si="5"/>
        <v>0</v>
      </c>
      <c r="I29" s="50">
        <f t="shared" si="6"/>
        <v>0</v>
      </c>
      <c r="J29" s="50">
        <f t="shared" si="7"/>
        <v>0</v>
      </c>
      <c r="K29" s="40">
        <f t="shared" si="8"/>
        <v>0</v>
      </c>
      <c r="L29" s="40">
        <f t="shared" si="9"/>
        <v>0</v>
      </c>
      <c r="M29" s="41">
        <f t="shared" si="10"/>
        <v>0</v>
      </c>
      <c r="N29" s="41">
        <f t="shared" si="11"/>
        <v>0</v>
      </c>
      <c r="O29" s="41">
        <f t="shared" si="12"/>
        <v>0</v>
      </c>
      <c r="P29" s="42">
        <f t="shared" si="13"/>
        <v>74000</v>
      </c>
      <c r="Q29" s="19">
        <f t="shared" si="14"/>
        <v>0</v>
      </c>
      <c r="R29" s="19">
        <f t="shared" si="15"/>
        <v>30000</v>
      </c>
      <c r="S29" s="20">
        <f t="shared" si="16"/>
        <v>1004000</v>
      </c>
      <c r="T29" s="19">
        <f t="shared" si="17"/>
        <v>37200</v>
      </c>
      <c r="U29" s="19">
        <f t="shared" si="18"/>
        <v>37200</v>
      </c>
      <c r="V29" s="19">
        <f t="shared" si="19"/>
        <v>0</v>
      </c>
      <c r="W29" s="19">
        <f t="shared" si="20"/>
        <v>100400</v>
      </c>
      <c r="X29" s="19">
        <f t="shared" si="21"/>
        <v>18000</v>
      </c>
      <c r="Y29" s="60">
        <f t="shared" si="22"/>
        <v>192800</v>
      </c>
      <c r="Z29" s="20">
        <f t="shared" si="23"/>
        <v>811200</v>
      </c>
    </row>
    <row r="30" spans="1:26" ht="12.75" thickTop="1" thickBot="1" x14ac:dyDescent="0.25">
      <c r="A30" s="15" t="s">
        <v>47</v>
      </c>
      <c r="B30" s="16" t="str">
        <f t="shared" si="0"/>
        <v>Luis Fernando Vanegas</v>
      </c>
      <c r="C30" s="16" t="str">
        <f t="shared" si="2"/>
        <v>Digitador</v>
      </c>
      <c r="D30" s="18">
        <v>30</v>
      </c>
      <c r="E30" s="43">
        <f t="shared" si="1"/>
        <v>23333.333333333332</v>
      </c>
      <c r="F30" s="44">
        <f t="shared" si="3"/>
        <v>700000</v>
      </c>
      <c r="G30" s="50">
        <f t="shared" si="4"/>
        <v>0</v>
      </c>
      <c r="H30" s="50">
        <f t="shared" si="5"/>
        <v>0</v>
      </c>
      <c r="I30" s="50">
        <f t="shared" si="6"/>
        <v>0</v>
      </c>
      <c r="J30" s="50">
        <f t="shared" si="7"/>
        <v>0</v>
      </c>
      <c r="K30" s="40">
        <f t="shared" si="8"/>
        <v>0</v>
      </c>
      <c r="L30" s="40">
        <f t="shared" si="9"/>
        <v>0</v>
      </c>
      <c r="M30" s="41">
        <f t="shared" si="10"/>
        <v>0</v>
      </c>
      <c r="N30" s="41">
        <f t="shared" si="11"/>
        <v>0</v>
      </c>
      <c r="O30" s="41">
        <f t="shared" si="12"/>
        <v>0</v>
      </c>
      <c r="P30" s="42">
        <f t="shared" si="13"/>
        <v>74000</v>
      </c>
      <c r="Q30" s="19">
        <f t="shared" si="14"/>
        <v>0</v>
      </c>
      <c r="R30" s="19">
        <f t="shared" si="15"/>
        <v>30000</v>
      </c>
      <c r="S30" s="20">
        <f t="shared" si="16"/>
        <v>804000</v>
      </c>
      <c r="T30" s="19">
        <f t="shared" si="17"/>
        <v>29200</v>
      </c>
      <c r="U30" s="19">
        <f t="shared" si="18"/>
        <v>29200</v>
      </c>
      <c r="V30" s="19">
        <f t="shared" si="19"/>
        <v>0</v>
      </c>
      <c r="W30" s="19">
        <f t="shared" si="20"/>
        <v>40200</v>
      </c>
      <c r="X30" s="19">
        <f t="shared" si="21"/>
        <v>3500</v>
      </c>
      <c r="Y30" s="60">
        <f t="shared" si="22"/>
        <v>102100</v>
      </c>
      <c r="Z30" s="20">
        <f t="shared" si="23"/>
        <v>701900</v>
      </c>
    </row>
    <row r="31" spans="1:26" ht="12.75" thickTop="1" thickBot="1" x14ac:dyDescent="0.25">
      <c r="A31" s="15" t="s">
        <v>49</v>
      </c>
      <c r="B31" s="16" t="str">
        <f t="shared" si="0"/>
        <v>Liliana Ríos</v>
      </c>
      <c r="C31" s="16" t="str">
        <f t="shared" si="2"/>
        <v>Vendedor</v>
      </c>
      <c r="D31" s="18">
        <v>30</v>
      </c>
      <c r="E31" s="43">
        <f t="shared" si="1"/>
        <v>20666.666666666668</v>
      </c>
      <c r="F31" s="44">
        <f t="shared" si="3"/>
        <v>620000</v>
      </c>
      <c r="G31" s="50">
        <f t="shared" si="4"/>
        <v>0</v>
      </c>
      <c r="H31" s="50">
        <f t="shared" si="5"/>
        <v>0</v>
      </c>
      <c r="I31" s="50">
        <f t="shared" si="6"/>
        <v>0</v>
      </c>
      <c r="J31" s="50">
        <f t="shared" si="7"/>
        <v>0</v>
      </c>
      <c r="K31" s="40">
        <f t="shared" si="8"/>
        <v>0</v>
      </c>
      <c r="L31" s="40">
        <f t="shared" si="9"/>
        <v>0</v>
      </c>
      <c r="M31" s="41">
        <f t="shared" si="10"/>
        <v>0</v>
      </c>
      <c r="N31" s="41">
        <f t="shared" si="11"/>
        <v>0</v>
      </c>
      <c r="O31" s="41">
        <f t="shared" si="12"/>
        <v>0</v>
      </c>
      <c r="P31" s="42">
        <f t="shared" si="13"/>
        <v>74000</v>
      </c>
      <c r="Q31" s="19">
        <f t="shared" si="14"/>
        <v>44999.999999999993</v>
      </c>
      <c r="R31" s="19">
        <f t="shared" si="15"/>
        <v>44999.999999999993</v>
      </c>
      <c r="S31" s="20">
        <f t="shared" si="16"/>
        <v>784000</v>
      </c>
      <c r="T31" s="19">
        <f t="shared" si="17"/>
        <v>28400</v>
      </c>
      <c r="U31" s="19">
        <f t="shared" si="18"/>
        <v>28400</v>
      </c>
      <c r="V31" s="19">
        <f t="shared" si="19"/>
        <v>0</v>
      </c>
      <c r="W31" s="19">
        <f t="shared" si="20"/>
        <v>39200</v>
      </c>
      <c r="X31" s="19">
        <f t="shared" si="21"/>
        <v>3100</v>
      </c>
      <c r="Y31" s="60">
        <f t="shared" si="22"/>
        <v>99100</v>
      </c>
      <c r="Z31" s="20">
        <f t="shared" si="23"/>
        <v>684900</v>
      </c>
    </row>
    <row r="32" spans="1:26" ht="12.75" thickTop="1" thickBot="1" x14ac:dyDescent="0.25">
      <c r="A32" s="15" t="s">
        <v>51</v>
      </c>
      <c r="B32" s="16" t="str">
        <f t="shared" si="0"/>
        <v>Luz Enith Betancur</v>
      </c>
      <c r="C32" s="16" t="str">
        <f t="shared" si="2"/>
        <v>Auxiliar Contable</v>
      </c>
      <c r="D32" s="18">
        <v>30</v>
      </c>
      <c r="E32" s="43">
        <f t="shared" si="1"/>
        <v>30000</v>
      </c>
      <c r="F32" s="44">
        <f t="shared" si="3"/>
        <v>900000</v>
      </c>
      <c r="G32" s="50">
        <f t="shared" si="4"/>
        <v>0</v>
      </c>
      <c r="H32" s="50">
        <f t="shared" si="5"/>
        <v>0</v>
      </c>
      <c r="I32" s="50">
        <f t="shared" si="6"/>
        <v>0</v>
      </c>
      <c r="J32" s="50">
        <f t="shared" si="7"/>
        <v>0</v>
      </c>
      <c r="K32" s="40">
        <f t="shared" si="8"/>
        <v>0</v>
      </c>
      <c r="L32" s="40">
        <f t="shared" si="9"/>
        <v>0</v>
      </c>
      <c r="M32" s="41">
        <f t="shared" si="10"/>
        <v>0</v>
      </c>
      <c r="N32" s="41">
        <f t="shared" si="11"/>
        <v>0</v>
      </c>
      <c r="O32" s="41">
        <f t="shared" si="12"/>
        <v>0</v>
      </c>
      <c r="P32" s="42">
        <f t="shared" si="13"/>
        <v>74000</v>
      </c>
      <c r="Q32" s="19">
        <f t="shared" si="14"/>
        <v>0</v>
      </c>
      <c r="R32" s="19">
        <f t="shared" si="15"/>
        <v>30000</v>
      </c>
      <c r="S32" s="20">
        <f t="shared" si="16"/>
        <v>1004000</v>
      </c>
      <c r="T32" s="19">
        <f t="shared" si="17"/>
        <v>37200</v>
      </c>
      <c r="U32" s="19">
        <f t="shared" si="18"/>
        <v>37200</v>
      </c>
      <c r="V32" s="19">
        <f t="shared" si="19"/>
        <v>0</v>
      </c>
      <c r="W32" s="19">
        <f t="shared" si="20"/>
        <v>100400</v>
      </c>
      <c r="X32" s="19">
        <f t="shared" si="21"/>
        <v>18000</v>
      </c>
      <c r="Y32" s="60">
        <f t="shared" si="22"/>
        <v>192800</v>
      </c>
      <c r="Z32" s="20">
        <f t="shared" si="23"/>
        <v>811200</v>
      </c>
    </row>
    <row r="33" spans="1:27" ht="12.75" thickTop="1" thickBot="1" x14ac:dyDescent="0.25">
      <c r="A33" s="15" t="s">
        <v>53</v>
      </c>
      <c r="B33" s="16" t="str">
        <f t="shared" si="0"/>
        <v>Maricela López</v>
      </c>
      <c r="C33" s="16" t="str">
        <f t="shared" si="2"/>
        <v>Operaria</v>
      </c>
      <c r="D33" s="18">
        <v>30</v>
      </c>
      <c r="E33" s="43">
        <f t="shared" si="1"/>
        <v>21478.333333333332</v>
      </c>
      <c r="F33" s="44">
        <f t="shared" si="3"/>
        <v>644350</v>
      </c>
      <c r="G33" s="50">
        <f t="shared" si="4"/>
        <v>5</v>
      </c>
      <c r="H33" s="50">
        <f t="shared" si="5"/>
        <v>4</v>
      </c>
      <c r="I33" s="50">
        <f t="shared" si="6"/>
        <v>2</v>
      </c>
      <c r="J33" s="50">
        <f t="shared" si="7"/>
        <v>1</v>
      </c>
      <c r="K33" s="40">
        <f t="shared" si="8"/>
        <v>16779.947916666664</v>
      </c>
      <c r="L33" s="40">
        <f t="shared" si="9"/>
        <v>18793.541666666664</v>
      </c>
      <c r="M33" s="41">
        <f t="shared" si="10"/>
        <v>12081.5625</v>
      </c>
      <c r="N33" s="41">
        <f t="shared" si="11"/>
        <v>7383.177083333333</v>
      </c>
      <c r="O33" s="41">
        <f t="shared" si="12"/>
        <v>55038.229166666664</v>
      </c>
      <c r="P33" s="42">
        <f t="shared" si="13"/>
        <v>74000</v>
      </c>
      <c r="Q33" s="19">
        <f t="shared" si="14"/>
        <v>0</v>
      </c>
      <c r="R33" s="19">
        <f t="shared" si="15"/>
        <v>44999.999999999993</v>
      </c>
      <c r="S33" s="20">
        <f t="shared" si="16"/>
        <v>818388.22916666663</v>
      </c>
      <c r="T33" s="19">
        <f t="shared" si="17"/>
        <v>29775.529166666667</v>
      </c>
      <c r="U33" s="19">
        <f t="shared" si="18"/>
        <v>29775.529166666667</v>
      </c>
      <c r="V33" s="19">
        <f t="shared" si="19"/>
        <v>0</v>
      </c>
      <c r="W33" s="19">
        <f t="shared" si="20"/>
        <v>40919.411458333336</v>
      </c>
      <c r="X33" s="19">
        <f t="shared" si="21"/>
        <v>3221.75</v>
      </c>
      <c r="Y33" s="60">
        <f t="shared" si="22"/>
        <v>103692.21979166666</v>
      </c>
      <c r="Z33" s="20">
        <f t="shared" si="23"/>
        <v>714696.00937499991</v>
      </c>
    </row>
    <row r="34" spans="1:27" ht="12.75" thickTop="1" thickBot="1" x14ac:dyDescent="0.25">
      <c r="A34" s="15" t="s">
        <v>55</v>
      </c>
      <c r="B34" s="16" t="str">
        <f t="shared" si="0"/>
        <v>Martha Deisy Ceballos</v>
      </c>
      <c r="C34" s="16" t="str">
        <f t="shared" si="2"/>
        <v>Digitadora</v>
      </c>
      <c r="D34" s="18">
        <v>30</v>
      </c>
      <c r="E34" s="43">
        <f t="shared" si="1"/>
        <v>23333.333333333332</v>
      </c>
      <c r="F34" s="44">
        <f t="shared" si="3"/>
        <v>700000</v>
      </c>
      <c r="G34" s="50">
        <f t="shared" si="4"/>
        <v>0</v>
      </c>
      <c r="H34" s="50">
        <f t="shared" si="5"/>
        <v>0</v>
      </c>
      <c r="I34" s="50">
        <f t="shared" si="6"/>
        <v>0</v>
      </c>
      <c r="J34" s="50">
        <f t="shared" si="7"/>
        <v>0</v>
      </c>
      <c r="K34" s="40">
        <f t="shared" si="8"/>
        <v>0</v>
      </c>
      <c r="L34" s="40">
        <f t="shared" si="9"/>
        <v>0</v>
      </c>
      <c r="M34" s="41">
        <f t="shared" si="10"/>
        <v>0</v>
      </c>
      <c r="N34" s="41">
        <f t="shared" si="11"/>
        <v>0</v>
      </c>
      <c r="O34" s="41">
        <f t="shared" si="12"/>
        <v>0</v>
      </c>
      <c r="P34" s="42">
        <f t="shared" si="13"/>
        <v>74000</v>
      </c>
      <c r="Q34" s="19">
        <f t="shared" si="14"/>
        <v>0</v>
      </c>
      <c r="R34" s="19">
        <f t="shared" si="15"/>
        <v>30000</v>
      </c>
      <c r="S34" s="20">
        <f t="shared" si="16"/>
        <v>804000</v>
      </c>
      <c r="T34" s="19">
        <f t="shared" si="17"/>
        <v>29200</v>
      </c>
      <c r="U34" s="19">
        <f t="shared" si="18"/>
        <v>29200</v>
      </c>
      <c r="V34" s="19">
        <f t="shared" si="19"/>
        <v>0</v>
      </c>
      <c r="W34" s="19">
        <f t="shared" si="20"/>
        <v>40200</v>
      </c>
      <c r="X34" s="19">
        <f t="shared" si="21"/>
        <v>3500</v>
      </c>
      <c r="Y34" s="60">
        <f t="shared" si="22"/>
        <v>102100</v>
      </c>
      <c r="Z34" s="20">
        <f t="shared" si="23"/>
        <v>701900</v>
      </c>
    </row>
    <row r="35" spans="1:27" ht="12.75" thickTop="1" thickBot="1" x14ac:dyDescent="0.25">
      <c r="A35" s="15" t="s">
        <v>58</v>
      </c>
      <c r="B35" s="16" t="str">
        <f t="shared" si="0"/>
        <v>Mauricio Alzate</v>
      </c>
      <c r="C35" s="16" t="str">
        <f t="shared" si="2"/>
        <v>Operario</v>
      </c>
      <c r="D35" s="18">
        <v>30</v>
      </c>
      <c r="E35" s="43">
        <f t="shared" si="1"/>
        <v>21478.333333333332</v>
      </c>
      <c r="F35" s="44">
        <f t="shared" si="3"/>
        <v>644350</v>
      </c>
      <c r="G35" s="50">
        <f t="shared" si="4"/>
        <v>5</v>
      </c>
      <c r="H35" s="50">
        <f t="shared" si="5"/>
        <v>4</v>
      </c>
      <c r="I35" s="50">
        <f t="shared" si="6"/>
        <v>2</v>
      </c>
      <c r="J35" s="50">
        <f t="shared" si="7"/>
        <v>1</v>
      </c>
      <c r="K35" s="40">
        <f t="shared" si="8"/>
        <v>16779.947916666664</v>
      </c>
      <c r="L35" s="40">
        <f t="shared" si="9"/>
        <v>18793.541666666664</v>
      </c>
      <c r="M35" s="41">
        <f t="shared" si="10"/>
        <v>12081.5625</v>
      </c>
      <c r="N35" s="41">
        <f t="shared" si="11"/>
        <v>7383.177083333333</v>
      </c>
      <c r="O35" s="41">
        <f t="shared" si="12"/>
        <v>55038.229166666664</v>
      </c>
      <c r="P35" s="42">
        <f t="shared" si="13"/>
        <v>74000</v>
      </c>
      <c r="Q35" s="19">
        <f t="shared" si="14"/>
        <v>0</v>
      </c>
      <c r="R35" s="19">
        <f t="shared" si="15"/>
        <v>44999.999999999993</v>
      </c>
      <c r="S35" s="20">
        <f t="shared" si="16"/>
        <v>818388.22916666663</v>
      </c>
      <c r="T35" s="19">
        <f t="shared" si="17"/>
        <v>29775.529166666667</v>
      </c>
      <c r="U35" s="19">
        <f t="shared" si="18"/>
        <v>29775.529166666667</v>
      </c>
      <c r="V35" s="19">
        <f t="shared" si="19"/>
        <v>0</v>
      </c>
      <c r="W35" s="19">
        <f t="shared" si="20"/>
        <v>40919.411458333336</v>
      </c>
      <c r="X35" s="19">
        <f t="shared" si="21"/>
        <v>3221.75</v>
      </c>
      <c r="Y35" s="60">
        <f t="shared" si="22"/>
        <v>103692.21979166666</v>
      </c>
      <c r="Z35" s="20">
        <f t="shared" si="23"/>
        <v>714696.00937499991</v>
      </c>
    </row>
    <row r="36" spans="1:27" ht="12.75" thickTop="1" thickBot="1" x14ac:dyDescent="0.25">
      <c r="A36" s="15" t="s">
        <v>60</v>
      </c>
      <c r="B36" s="16" t="str">
        <f t="shared" si="0"/>
        <v>Mónica Yurany Giraldo</v>
      </c>
      <c r="C36" s="16" t="str">
        <f t="shared" si="2"/>
        <v>Secretaria</v>
      </c>
      <c r="D36" s="18">
        <v>30</v>
      </c>
      <c r="E36" s="43">
        <f t="shared" si="1"/>
        <v>25000</v>
      </c>
      <c r="F36" s="44">
        <f t="shared" si="3"/>
        <v>750000</v>
      </c>
      <c r="G36" s="50">
        <f t="shared" si="4"/>
        <v>0</v>
      </c>
      <c r="H36" s="50">
        <f t="shared" si="5"/>
        <v>0</v>
      </c>
      <c r="I36" s="50">
        <f t="shared" si="6"/>
        <v>0</v>
      </c>
      <c r="J36" s="50">
        <f t="shared" si="7"/>
        <v>0</v>
      </c>
      <c r="K36" s="40">
        <f t="shared" si="8"/>
        <v>0</v>
      </c>
      <c r="L36" s="40">
        <f t="shared" si="9"/>
        <v>0</v>
      </c>
      <c r="M36" s="41">
        <f t="shared" si="10"/>
        <v>0</v>
      </c>
      <c r="N36" s="41">
        <f t="shared" si="11"/>
        <v>0</v>
      </c>
      <c r="O36" s="41">
        <f t="shared" si="12"/>
        <v>0</v>
      </c>
      <c r="P36" s="42">
        <f t="shared" si="13"/>
        <v>74000</v>
      </c>
      <c r="Q36" s="19">
        <f t="shared" si="14"/>
        <v>0</v>
      </c>
      <c r="R36" s="19">
        <f t="shared" si="15"/>
        <v>30000</v>
      </c>
      <c r="S36" s="20">
        <f t="shared" si="16"/>
        <v>854000</v>
      </c>
      <c r="T36" s="19">
        <f t="shared" si="17"/>
        <v>31200</v>
      </c>
      <c r="U36" s="19">
        <f t="shared" si="18"/>
        <v>31200</v>
      </c>
      <c r="V36" s="19">
        <f t="shared" si="19"/>
        <v>0</v>
      </c>
      <c r="W36" s="19">
        <f t="shared" si="20"/>
        <v>85400</v>
      </c>
      <c r="X36" s="19">
        <f t="shared" si="21"/>
        <v>15000</v>
      </c>
      <c r="Y36" s="60">
        <f t="shared" si="22"/>
        <v>162800</v>
      </c>
      <c r="Z36" s="20">
        <f t="shared" si="23"/>
        <v>691200</v>
      </c>
    </row>
    <row r="37" spans="1:27" ht="12.75" thickTop="1" thickBot="1" x14ac:dyDescent="0.25">
      <c r="A37" s="15" t="s">
        <v>62</v>
      </c>
      <c r="B37" s="16" t="str">
        <f t="shared" si="0"/>
        <v>Nayibet Galvis</v>
      </c>
      <c r="C37" s="16" t="str">
        <f t="shared" si="2"/>
        <v>Operaria</v>
      </c>
      <c r="D37" s="18">
        <v>30</v>
      </c>
      <c r="E37" s="43">
        <f t="shared" si="1"/>
        <v>21478.333333333332</v>
      </c>
      <c r="F37" s="44">
        <f t="shared" si="3"/>
        <v>644350</v>
      </c>
      <c r="G37" s="50">
        <f t="shared" si="4"/>
        <v>5</v>
      </c>
      <c r="H37" s="50">
        <f t="shared" si="5"/>
        <v>4</v>
      </c>
      <c r="I37" s="50">
        <f t="shared" si="6"/>
        <v>2</v>
      </c>
      <c r="J37" s="50">
        <f t="shared" si="7"/>
        <v>1</v>
      </c>
      <c r="K37" s="40">
        <f t="shared" si="8"/>
        <v>16779.947916666664</v>
      </c>
      <c r="L37" s="40">
        <f t="shared" si="9"/>
        <v>18793.541666666664</v>
      </c>
      <c r="M37" s="41">
        <f t="shared" si="10"/>
        <v>12081.5625</v>
      </c>
      <c r="N37" s="41">
        <f t="shared" si="11"/>
        <v>7383.177083333333</v>
      </c>
      <c r="O37" s="41">
        <f t="shared" si="12"/>
        <v>55038.229166666664</v>
      </c>
      <c r="P37" s="42">
        <f t="shared" si="13"/>
        <v>74000</v>
      </c>
      <c r="Q37" s="19">
        <f t="shared" si="14"/>
        <v>0</v>
      </c>
      <c r="R37" s="19">
        <f t="shared" si="15"/>
        <v>44999.999999999993</v>
      </c>
      <c r="S37" s="20">
        <f t="shared" si="16"/>
        <v>818388.22916666663</v>
      </c>
      <c r="T37" s="19">
        <f t="shared" si="17"/>
        <v>29775.529166666667</v>
      </c>
      <c r="U37" s="19">
        <f t="shared" si="18"/>
        <v>29775.529166666667</v>
      </c>
      <c r="V37" s="19">
        <f t="shared" si="19"/>
        <v>0</v>
      </c>
      <c r="W37" s="19">
        <f t="shared" si="20"/>
        <v>40919.411458333336</v>
      </c>
      <c r="X37" s="19">
        <f t="shared" si="21"/>
        <v>3221.75</v>
      </c>
      <c r="Y37" s="60">
        <f t="shared" si="22"/>
        <v>103692.21979166666</v>
      </c>
      <c r="Z37" s="20">
        <f t="shared" si="23"/>
        <v>714696.00937499991</v>
      </c>
    </row>
    <row r="38" spans="1:27" ht="12.75" thickTop="1" thickBot="1" x14ac:dyDescent="0.25">
      <c r="A38" s="15" t="s">
        <v>64</v>
      </c>
      <c r="B38" s="16" t="str">
        <f t="shared" si="0"/>
        <v>Patricia Rodriguez</v>
      </c>
      <c r="C38" s="16" t="str">
        <f t="shared" si="2"/>
        <v>Operaria</v>
      </c>
      <c r="D38" s="18">
        <v>30</v>
      </c>
      <c r="E38" s="43">
        <f t="shared" si="1"/>
        <v>21478.333333333332</v>
      </c>
      <c r="F38" s="44">
        <f t="shared" si="3"/>
        <v>644350</v>
      </c>
      <c r="G38" s="50">
        <f t="shared" si="4"/>
        <v>5</v>
      </c>
      <c r="H38" s="50">
        <f t="shared" si="5"/>
        <v>4</v>
      </c>
      <c r="I38" s="50">
        <f t="shared" si="6"/>
        <v>2</v>
      </c>
      <c r="J38" s="50">
        <f t="shared" si="7"/>
        <v>1</v>
      </c>
      <c r="K38" s="40">
        <f t="shared" si="8"/>
        <v>16779.947916666664</v>
      </c>
      <c r="L38" s="40">
        <f t="shared" si="9"/>
        <v>18793.541666666664</v>
      </c>
      <c r="M38" s="41">
        <f t="shared" si="10"/>
        <v>12081.5625</v>
      </c>
      <c r="N38" s="41">
        <f t="shared" si="11"/>
        <v>7383.177083333333</v>
      </c>
      <c r="O38" s="41">
        <f t="shared" si="12"/>
        <v>55038.229166666664</v>
      </c>
      <c r="P38" s="42">
        <f t="shared" si="13"/>
        <v>74000</v>
      </c>
      <c r="Q38" s="19">
        <f t="shared" si="14"/>
        <v>0</v>
      </c>
      <c r="R38" s="19">
        <f t="shared" si="15"/>
        <v>44999.999999999993</v>
      </c>
      <c r="S38" s="20">
        <f t="shared" si="16"/>
        <v>818388.22916666663</v>
      </c>
      <c r="T38" s="19">
        <f t="shared" si="17"/>
        <v>29775.529166666667</v>
      </c>
      <c r="U38" s="19">
        <f t="shared" si="18"/>
        <v>29775.529166666667</v>
      </c>
      <c r="V38" s="19">
        <f t="shared" si="19"/>
        <v>0</v>
      </c>
      <c r="W38" s="19">
        <f t="shared" si="20"/>
        <v>40919.411458333336</v>
      </c>
      <c r="X38" s="19">
        <f t="shared" si="21"/>
        <v>3221.75</v>
      </c>
      <c r="Y38" s="60">
        <f t="shared" si="22"/>
        <v>103692.21979166666</v>
      </c>
      <c r="Z38" s="20">
        <f t="shared" si="23"/>
        <v>714696.00937499991</v>
      </c>
    </row>
    <row r="39" spans="1:27" ht="12.75" thickTop="1" thickBot="1" x14ac:dyDescent="0.25">
      <c r="A39" s="15" t="s">
        <v>66</v>
      </c>
      <c r="B39" s="16" t="str">
        <f t="shared" si="0"/>
        <v>Sandra Marcela Rojas</v>
      </c>
      <c r="C39" s="16" t="str">
        <f t="shared" si="2"/>
        <v>Operaria</v>
      </c>
      <c r="D39" s="18">
        <v>30</v>
      </c>
      <c r="E39" s="43">
        <f t="shared" si="1"/>
        <v>21478.333333333332</v>
      </c>
      <c r="F39" s="44">
        <f t="shared" si="3"/>
        <v>644350</v>
      </c>
      <c r="G39" s="50">
        <f t="shared" si="4"/>
        <v>5</v>
      </c>
      <c r="H39" s="50">
        <f t="shared" si="5"/>
        <v>4</v>
      </c>
      <c r="I39" s="50">
        <f t="shared" si="6"/>
        <v>2</v>
      </c>
      <c r="J39" s="50">
        <f t="shared" si="7"/>
        <v>1</v>
      </c>
      <c r="K39" s="40">
        <f t="shared" si="8"/>
        <v>16779.947916666664</v>
      </c>
      <c r="L39" s="40">
        <f t="shared" si="9"/>
        <v>18793.541666666664</v>
      </c>
      <c r="M39" s="41">
        <f t="shared" si="10"/>
        <v>12081.5625</v>
      </c>
      <c r="N39" s="41">
        <f t="shared" si="11"/>
        <v>7383.177083333333</v>
      </c>
      <c r="O39" s="41">
        <f t="shared" si="12"/>
        <v>55038.229166666664</v>
      </c>
      <c r="P39" s="42">
        <f t="shared" si="13"/>
        <v>74000</v>
      </c>
      <c r="Q39" s="19">
        <f t="shared" si="14"/>
        <v>0</v>
      </c>
      <c r="R39" s="19">
        <f t="shared" si="15"/>
        <v>44999.999999999993</v>
      </c>
      <c r="S39" s="20">
        <f t="shared" si="16"/>
        <v>818388.22916666663</v>
      </c>
      <c r="T39" s="19">
        <f t="shared" si="17"/>
        <v>29775.529166666667</v>
      </c>
      <c r="U39" s="19">
        <f t="shared" si="18"/>
        <v>29775.529166666667</v>
      </c>
      <c r="V39" s="19">
        <f t="shared" si="19"/>
        <v>0</v>
      </c>
      <c r="W39" s="19">
        <f t="shared" si="20"/>
        <v>40919.411458333336</v>
      </c>
      <c r="X39" s="19">
        <f t="shared" si="21"/>
        <v>3221.75</v>
      </c>
      <c r="Y39" s="60">
        <f t="shared" si="22"/>
        <v>103692.21979166666</v>
      </c>
      <c r="Z39" s="20">
        <f t="shared" si="23"/>
        <v>714696.00937499991</v>
      </c>
    </row>
    <row r="40" spans="1:27" ht="12.75" thickTop="1" thickBot="1" x14ac:dyDescent="0.25">
      <c r="A40" s="15" t="s">
        <v>68</v>
      </c>
      <c r="B40" s="16" t="str">
        <f t="shared" si="0"/>
        <v>Yeisón Fernando García</v>
      </c>
      <c r="C40" s="16" t="str">
        <f t="shared" si="2"/>
        <v>Auxiliar Contable</v>
      </c>
      <c r="D40" s="18">
        <v>30</v>
      </c>
      <c r="E40" s="43">
        <f t="shared" si="1"/>
        <v>30000</v>
      </c>
      <c r="F40" s="44">
        <f t="shared" si="3"/>
        <v>900000</v>
      </c>
      <c r="G40" s="50">
        <f t="shared" si="4"/>
        <v>0</v>
      </c>
      <c r="H40" s="50">
        <f t="shared" si="5"/>
        <v>0</v>
      </c>
      <c r="I40" s="50">
        <f t="shared" si="6"/>
        <v>0</v>
      </c>
      <c r="J40" s="50">
        <f t="shared" si="7"/>
        <v>0</v>
      </c>
      <c r="K40" s="40">
        <f t="shared" si="8"/>
        <v>0</v>
      </c>
      <c r="L40" s="40">
        <f t="shared" si="9"/>
        <v>0</v>
      </c>
      <c r="M40" s="41">
        <f t="shared" si="10"/>
        <v>0</v>
      </c>
      <c r="N40" s="41">
        <f t="shared" si="11"/>
        <v>0</v>
      </c>
      <c r="O40" s="41">
        <f t="shared" si="12"/>
        <v>0</v>
      </c>
      <c r="P40" s="42">
        <f t="shared" si="13"/>
        <v>74000</v>
      </c>
      <c r="Q40" s="19">
        <f t="shared" si="14"/>
        <v>0</v>
      </c>
      <c r="R40" s="19">
        <f t="shared" si="15"/>
        <v>30000</v>
      </c>
      <c r="S40" s="20">
        <f t="shared" si="16"/>
        <v>1004000</v>
      </c>
      <c r="T40" s="19">
        <f t="shared" si="17"/>
        <v>37200</v>
      </c>
      <c r="U40" s="19">
        <f t="shared" si="18"/>
        <v>37200</v>
      </c>
      <c r="V40" s="19">
        <f t="shared" si="19"/>
        <v>0</v>
      </c>
      <c r="W40" s="19">
        <f t="shared" si="20"/>
        <v>100400</v>
      </c>
      <c r="X40" s="19">
        <f t="shared" si="21"/>
        <v>18000</v>
      </c>
      <c r="Y40" s="60">
        <f t="shared" si="22"/>
        <v>192800</v>
      </c>
      <c r="Z40" s="20">
        <f t="shared" si="23"/>
        <v>811200</v>
      </c>
    </row>
    <row r="41" spans="1:27" ht="12.75" thickTop="1" thickBot="1" x14ac:dyDescent="0.25">
      <c r="A41" s="15" t="s">
        <v>70</v>
      </c>
      <c r="B41" s="16" t="str">
        <f t="shared" si="0"/>
        <v>Yohiner Tangarife</v>
      </c>
      <c r="C41" s="16" t="str">
        <f t="shared" si="2"/>
        <v>Auxiliar Contable</v>
      </c>
      <c r="D41" s="18">
        <v>30</v>
      </c>
      <c r="E41" s="43">
        <f t="shared" si="1"/>
        <v>30000</v>
      </c>
      <c r="F41" s="44">
        <f t="shared" si="3"/>
        <v>900000</v>
      </c>
      <c r="G41" s="50">
        <f t="shared" si="4"/>
        <v>0</v>
      </c>
      <c r="H41" s="50">
        <f t="shared" si="5"/>
        <v>0</v>
      </c>
      <c r="I41" s="50">
        <f t="shared" si="6"/>
        <v>0</v>
      </c>
      <c r="J41" s="50">
        <f t="shared" si="7"/>
        <v>0</v>
      </c>
      <c r="K41" s="40">
        <f t="shared" si="8"/>
        <v>0</v>
      </c>
      <c r="L41" s="40">
        <f t="shared" si="9"/>
        <v>0</v>
      </c>
      <c r="M41" s="41">
        <f t="shared" si="10"/>
        <v>0</v>
      </c>
      <c r="N41" s="41">
        <f t="shared" si="11"/>
        <v>0</v>
      </c>
      <c r="O41" s="41">
        <f t="shared" si="12"/>
        <v>0</v>
      </c>
      <c r="P41" s="42">
        <f t="shared" si="13"/>
        <v>74000</v>
      </c>
      <c r="Q41" s="19">
        <f t="shared" si="14"/>
        <v>0</v>
      </c>
      <c r="R41" s="19">
        <f t="shared" si="15"/>
        <v>30000</v>
      </c>
      <c r="S41" s="20">
        <f t="shared" si="16"/>
        <v>1004000</v>
      </c>
      <c r="T41" s="19">
        <f t="shared" si="17"/>
        <v>37200</v>
      </c>
      <c r="U41" s="19">
        <f t="shared" si="18"/>
        <v>37200</v>
      </c>
      <c r="V41" s="19">
        <f t="shared" si="19"/>
        <v>0</v>
      </c>
      <c r="W41" s="19">
        <f t="shared" si="20"/>
        <v>100400</v>
      </c>
      <c r="X41" s="19">
        <f t="shared" si="21"/>
        <v>18000</v>
      </c>
      <c r="Y41" s="60">
        <f t="shared" si="22"/>
        <v>192800</v>
      </c>
      <c r="Z41" s="20">
        <f t="shared" si="23"/>
        <v>811200</v>
      </c>
    </row>
    <row r="42" spans="1:27" ht="12.75" thickTop="1" thickBot="1" x14ac:dyDescent="0.25">
      <c r="A42" s="15" t="s">
        <v>72</v>
      </c>
      <c r="B42" s="16" t="str">
        <f t="shared" si="0"/>
        <v>Yuliana Cardona</v>
      </c>
      <c r="C42" s="16" t="str">
        <f t="shared" si="2"/>
        <v>Digitadora</v>
      </c>
      <c r="D42" s="18">
        <v>30</v>
      </c>
      <c r="E42" s="43">
        <f t="shared" si="1"/>
        <v>23333.333333333332</v>
      </c>
      <c r="F42" s="44">
        <f t="shared" si="3"/>
        <v>700000</v>
      </c>
      <c r="G42" s="50">
        <f t="shared" si="4"/>
        <v>0</v>
      </c>
      <c r="H42" s="50">
        <f t="shared" si="5"/>
        <v>0</v>
      </c>
      <c r="I42" s="50">
        <f t="shared" si="6"/>
        <v>0</v>
      </c>
      <c r="J42" s="50">
        <f t="shared" si="7"/>
        <v>0</v>
      </c>
      <c r="K42" s="40">
        <f t="shared" si="8"/>
        <v>0</v>
      </c>
      <c r="L42" s="40">
        <f t="shared" si="9"/>
        <v>0</v>
      </c>
      <c r="M42" s="41">
        <f t="shared" si="10"/>
        <v>0</v>
      </c>
      <c r="N42" s="41">
        <f t="shared" si="11"/>
        <v>0</v>
      </c>
      <c r="O42" s="41">
        <f t="shared" si="12"/>
        <v>0</v>
      </c>
      <c r="P42" s="42">
        <f t="shared" si="13"/>
        <v>74000</v>
      </c>
      <c r="Q42" s="19">
        <f t="shared" si="14"/>
        <v>0</v>
      </c>
      <c r="R42" s="19">
        <f t="shared" si="15"/>
        <v>30000</v>
      </c>
      <c r="S42" s="20">
        <f t="shared" si="16"/>
        <v>804000</v>
      </c>
      <c r="T42" s="19">
        <f t="shared" si="17"/>
        <v>29200</v>
      </c>
      <c r="U42" s="19">
        <f t="shared" si="18"/>
        <v>29200</v>
      </c>
      <c r="V42" s="19">
        <f t="shared" si="19"/>
        <v>0</v>
      </c>
      <c r="W42" s="19">
        <f t="shared" si="20"/>
        <v>40200</v>
      </c>
      <c r="X42" s="19">
        <f t="shared" si="21"/>
        <v>3500</v>
      </c>
      <c r="Y42" s="60">
        <f t="shared" si="22"/>
        <v>102100</v>
      </c>
      <c r="Z42" s="20">
        <f t="shared" si="23"/>
        <v>701900</v>
      </c>
    </row>
    <row r="43" spans="1:27" ht="12.75" thickTop="1" thickBot="1" x14ac:dyDescent="0.25">
      <c r="A43" s="15"/>
      <c r="B43" s="16" t="str">
        <f>+IF(A43="","",VLOOKUP(A43,'BD EMPLEADOS'!A31:E63,2,FALSE))</f>
        <v/>
      </c>
      <c r="C43" s="17" t="str">
        <f>IF(A43="","",VLOOKUP(A43,'BD EMPLEADOS'!A31:E63,3,FALSE))</f>
        <v/>
      </c>
      <c r="D43" s="18"/>
      <c r="E43" s="43" t="str">
        <f t="shared" si="1"/>
        <v/>
      </c>
      <c r="F43" s="39" t="str">
        <f>+IF(A43="","",E43*D43)</f>
        <v/>
      </c>
      <c r="G43" s="50"/>
      <c r="H43" s="38"/>
      <c r="I43" s="18" t="str">
        <f>+IF(C43="Operario",2,"")</f>
        <v/>
      </c>
      <c r="J43" s="38"/>
      <c r="K43" s="38"/>
      <c r="L43" s="40"/>
      <c r="M43" s="20" t="str">
        <f>+IF(C43="Operario",I43*(E43/8)*$T$49,"")</f>
        <v/>
      </c>
      <c r="N43" s="41"/>
      <c r="O43" s="20"/>
      <c r="P43" s="19"/>
      <c r="Q43" s="19"/>
      <c r="R43" s="19"/>
      <c r="S43" s="20"/>
      <c r="T43" s="19"/>
      <c r="U43" s="19"/>
      <c r="V43" s="19"/>
      <c r="W43" s="51"/>
      <c r="X43" s="21"/>
      <c r="Y43" s="53"/>
      <c r="Z43" s="56"/>
    </row>
    <row r="44" spans="1:27" ht="16.5" customHeight="1" thickTop="1" thickBot="1" x14ac:dyDescent="0.3">
      <c r="A44" s="179" t="s">
        <v>117</v>
      </c>
      <c r="B44" s="180"/>
      <c r="C44" s="180"/>
      <c r="D44" s="180"/>
      <c r="E44" s="180"/>
      <c r="F44" s="180"/>
      <c r="G44" s="180"/>
      <c r="H44" s="181"/>
      <c r="I44" s="166" t="s">
        <v>118</v>
      </c>
      <c r="J44" s="166"/>
      <c r="K44" s="78" t="s">
        <v>119</v>
      </c>
      <c r="L44" s="79" t="s">
        <v>95</v>
      </c>
      <c r="M44" s="241" t="s">
        <v>120</v>
      </c>
      <c r="N44" s="242"/>
      <c r="O44" s="242"/>
      <c r="P44" s="242"/>
      <c r="Q44" s="242"/>
      <c r="R44" s="242"/>
      <c r="S44" s="242"/>
      <c r="T44" s="243"/>
      <c r="U44" s="294" t="s">
        <v>121</v>
      </c>
      <c r="V44" s="295"/>
      <c r="W44" s="295"/>
      <c r="X44" s="295"/>
      <c r="Y44" s="295"/>
      <c r="Z44" s="296"/>
      <c r="AA44" s="8"/>
    </row>
    <row r="45" spans="1:27" ht="14.25" customHeight="1" thickTop="1" thickBot="1" x14ac:dyDescent="0.3">
      <c r="A45" s="161" t="s">
        <v>83</v>
      </c>
      <c r="B45" s="162"/>
      <c r="C45" s="162"/>
      <c r="D45" s="162"/>
      <c r="E45" s="163"/>
      <c r="F45" s="226" t="s">
        <v>85</v>
      </c>
      <c r="G45" s="227"/>
      <c r="H45" s="227"/>
      <c r="I45" s="167" t="s">
        <v>112</v>
      </c>
      <c r="J45" s="167"/>
      <c r="K45" s="70">
        <v>8.5000000000000006E-2</v>
      </c>
      <c r="L45" s="62">
        <f>(E52-E49)*$K$45</f>
        <v>2517795.4125000001</v>
      </c>
      <c r="M45" s="244"/>
      <c r="N45" s="245"/>
      <c r="O45" s="245"/>
      <c r="P45" s="245"/>
      <c r="Q45" s="245"/>
      <c r="R45" s="245"/>
      <c r="S45" s="245"/>
      <c r="T45" s="246"/>
      <c r="U45" s="250" t="s">
        <v>169</v>
      </c>
      <c r="V45" s="251"/>
      <c r="W45" s="251"/>
      <c r="X45" s="251"/>
      <c r="Y45" s="251"/>
      <c r="Z45" s="252"/>
      <c r="AA45" s="8"/>
    </row>
    <row r="46" spans="1:27" ht="14.25" customHeight="1" thickTop="1" thickBot="1" x14ac:dyDescent="0.3">
      <c r="A46" s="164"/>
      <c r="B46" s="165"/>
      <c r="C46" s="165"/>
      <c r="D46" s="165"/>
      <c r="E46" s="165"/>
      <c r="F46" s="228"/>
      <c r="G46" s="229"/>
      <c r="H46" s="229"/>
      <c r="I46" s="167" t="s">
        <v>113</v>
      </c>
      <c r="J46" s="167"/>
      <c r="K46" s="61">
        <v>0.12</v>
      </c>
      <c r="L46" s="62">
        <f>(E52-E49)*$K$46</f>
        <v>3554534.6999999997</v>
      </c>
      <c r="M46" s="190" t="s">
        <v>122</v>
      </c>
      <c r="N46" s="190"/>
      <c r="O46" s="80" t="s">
        <v>100</v>
      </c>
      <c r="P46" s="81">
        <v>644350</v>
      </c>
      <c r="Q46" s="81" t="s">
        <v>99</v>
      </c>
      <c r="R46" s="82">
        <v>21478</v>
      </c>
      <c r="S46" s="171" t="s">
        <v>123</v>
      </c>
      <c r="T46" s="172"/>
      <c r="U46" s="250" t="s">
        <v>170</v>
      </c>
      <c r="V46" s="251"/>
      <c r="W46" s="251"/>
      <c r="X46" s="251"/>
      <c r="Y46" s="251"/>
      <c r="Z46" s="252"/>
      <c r="AA46" s="8"/>
    </row>
    <row r="47" spans="1:27" ht="16.5" customHeight="1" thickTop="1" thickBot="1" x14ac:dyDescent="0.25">
      <c r="A47" s="158" t="s">
        <v>124</v>
      </c>
      <c r="B47" s="159"/>
      <c r="C47" s="159"/>
      <c r="D47" s="160"/>
      <c r="E47" s="76">
        <f>SUM(F13:F42)</f>
        <v>27845816.666666668</v>
      </c>
      <c r="F47" s="197" t="s">
        <v>112</v>
      </c>
      <c r="G47" s="197"/>
      <c r="H47" s="77">
        <f>SUM(T13:T42)</f>
        <v>1184844.8999999999</v>
      </c>
      <c r="I47" s="167" t="s">
        <v>125</v>
      </c>
      <c r="J47" s="167"/>
      <c r="K47" s="63">
        <v>8.3299999999999999E-2</v>
      </c>
      <c r="L47" s="62">
        <f>E52*$K$47</f>
        <v>2645174.2152499999</v>
      </c>
      <c r="M47" s="190" t="s">
        <v>126</v>
      </c>
      <c r="N47" s="190"/>
      <c r="O47" s="80" t="s">
        <v>100</v>
      </c>
      <c r="P47" s="81">
        <v>74000</v>
      </c>
      <c r="Q47" s="81" t="s">
        <v>99</v>
      </c>
      <c r="R47" s="82">
        <v>2466</v>
      </c>
      <c r="S47" s="83" t="s">
        <v>127</v>
      </c>
      <c r="T47" s="84">
        <v>1.25</v>
      </c>
      <c r="U47" s="8"/>
      <c r="V47" s="52"/>
      <c r="W47" s="52"/>
      <c r="X47" s="52"/>
      <c r="Y47" s="54"/>
      <c r="Z47" s="55"/>
    </row>
    <row r="48" spans="1:27" ht="17.25" thickTop="1" thickBot="1" x14ac:dyDescent="0.3">
      <c r="A48" s="158" t="s">
        <v>108</v>
      </c>
      <c r="B48" s="159"/>
      <c r="C48" s="159"/>
      <c r="D48" s="160"/>
      <c r="E48" s="76">
        <f>SUM(O13:O42)</f>
        <v>440305.83333333337</v>
      </c>
      <c r="F48" s="197" t="s">
        <v>113</v>
      </c>
      <c r="G48" s="197"/>
      <c r="H48" s="77">
        <f>SUM(U13:U42)</f>
        <v>1184844.8999999999</v>
      </c>
      <c r="I48" s="167" t="s">
        <v>128</v>
      </c>
      <c r="J48" s="167"/>
      <c r="K48" s="63">
        <v>8.3299999999999999E-2</v>
      </c>
      <c r="L48" s="62">
        <f>E52*$K$48</f>
        <v>2645174.2152499999</v>
      </c>
      <c r="M48" s="190" t="s">
        <v>129</v>
      </c>
      <c r="N48" s="190"/>
      <c r="O48" s="85"/>
      <c r="P48" s="86"/>
      <c r="Q48" s="86"/>
      <c r="R48" s="87">
        <v>0.04</v>
      </c>
      <c r="S48" s="83" t="s">
        <v>130</v>
      </c>
      <c r="T48" s="84">
        <v>1.75</v>
      </c>
      <c r="U48" s="68"/>
      <c r="V48" s="52"/>
      <c r="W48" s="52"/>
      <c r="X48" s="52"/>
      <c r="Y48" s="54"/>
      <c r="Z48" s="54"/>
      <c r="AA48" s="8"/>
    </row>
    <row r="49" spans="1:27" ht="17.25" customHeight="1" thickTop="1" thickBot="1" x14ac:dyDescent="0.25">
      <c r="A49" s="158" t="s">
        <v>126</v>
      </c>
      <c r="B49" s="159"/>
      <c r="C49" s="159"/>
      <c r="D49" s="160"/>
      <c r="E49" s="76">
        <f>SUM(P13:P42)</f>
        <v>2133670</v>
      </c>
      <c r="F49" s="197" t="s">
        <v>114</v>
      </c>
      <c r="G49" s="197"/>
      <c r="H49" s="77">
        <f>SUM(V14:V43)</f>
        <v>70300</v>
      </c>
      <c r="I49" s="167" t="s">
        <v>131</v>
      </c>
      <c r="J49" s="167"/>
      <c r="K49" s="63">
        <v>4.1700000000000001E-2</v>
      </c>
      <c r="L49" s="62">
        <f>(E52-E49)*$K$49</f>
        <v>1235200.80825</v>
      </c>
      <c r="M49" s="190" t="s">
        <v>132</v>
      </c>
      <c r="N49" s="190"/>
      <c r="O49" s="88"/>
      <c r="P49" s="89"/>
      <c r="Q49" s="89"/>
      <c r="R49" s="87">
        <v>0.04</v>
      </c>
      <c r="S49" s="83" t="s">
        <v>133</v>
      </c>
      <c r="T49" s="84">
        <v>2.25</v>
      </c>
      <c r="U49" s="8"/>
      <c r="V49" s="52"/>
      <c r="W49" s="52"/>
      <c r="X49" s="52"/>
      <c r="Y49" s="54"/>
      <c r="Z49" s="54"/>
      <c r="AA49" s="8"/>
    </row>
    <row r="50" spans="1:27" ht="17.25" thickTop="1" thickBot="1" x14ac:dyDescent="0.3">
      <c r="A50" s="158" t="s">
        <v>134</v>
      </c>
      <c r="B50" s="159"/>
      <c r="C50" s="159"/>
      <c r="D50" s="160"/>
      <c r="E50" s="76">
        <f>SUM(Q13:Q42)</f>
        <v>224999.99999999997</v>
      </c>
      <c r="F50" s="197" t="s">
        <v>115</v>
      </c>
      <c r="G50" s="197"/>
      <c r="H50" s="77">
        <f>SUM(W13:W42)</f>
        <v>2418739.625</v>
      </c>
      <c r="I50" s="167" t="s">
        <v>135</v>
      </c>
      <c r="J50" s="167"/>
      <c r="K50" s="61">
        <v>0.02</v>
      </c>
      <c r="L50" s="62">
        <f>(E52-E49)*$K$50</f>
        <v>592422.45000000007</v>
      </c>
      <c r="M50" s="190" t="s">
        <v>136</v>
      </c>
      <c r="N50" s="190"/>
      <c r="O50" s="85"/>
      <c r="P50" s="86"/>
      <c r="Q50" s="86"/>
      <c r="R50" s="87">
        <v>0.01</v>
      </c>
      <c r="S50" s="83" t="s">
        <v>137</v>
      </c>
      <c r="T50" s="84">
        <v>2.75</v>
      </c>
      <c r="U50" s="65" t="s">
        <v>171</v>
      </c>
      <c r="V50" s="52"/>
      <c r="W50" s="52"/>
      <c r="X50" s="52"/>
      <c r="Y50" s="54"/>
      <c r="Z50" s="55"/>
    </row>
    <row r="51" spans="1:27" ht="17.25" thickTop="1" thickBot="1" x14ac:dyDescent="0.3">
      <c r="A51" s="158" t="s">
        <v>138</v>
      </c>
      <c r="B51" s="159"/>
      <c r="C51" s="159"/>
      <c r="D51" s="160"/>
      <c r="E51" s="76">
        <f>SUM(R13:R42)</f>
        <v>1110000</v>
      </c>
      <c r="F51" s="197" t="s">
        <v>116</v>
      </c>
      <c r="G51" s="197"/>
      <c r="H51" s="77">
        <f>SUM(X13:X42)</f>
        <v>372479.08333333337</v>
      </c>
      <c r="I51" s="167" t="s">
        <v>139</v>
      </c>
      <c r="J51" s="167"/>
      <c r="K51" s="61">
        <v>0.03</v>
      </c>
      <c r="L51" s="62">
        <f>(E52-E49)*$K$51</f>
        <v>888633.67499999993</v>
      </c>
      <c r="M51" s="190" t="s">
        <v>140</v>
      </c>
      <c r="N51" s="190"/>
      <c r="O51" s="80"/>
      <c r="P51" s="81"/>
      <c r="Q51" s="81"/>
      <c r="R51" s="82">
        <v>150000000</v>
      </c>
      <c r="S51" s="90"/>
      <c r="T51" s="91"/>
      <c r="U51" s="69" t="s">
        <v>172</v>
      </c>
      <c r="V51" s="67"/>
      <c r="W51" s="52"/>
      <c r="X51" s="52"/>
      <c r="Y51" s="54"/>
      <c r="Z51" s="55"/>
    </row>
    <row r="52" spans="1:27" ht="17.25" thickTop="1" thickBot="1" x14ac:dyDescent="0.3">
      <c r="A52" s="210" t="s">
        <v>141</v>
      </c>
      <c r="B52" s="211"/>
      <c r="C52" s="211"/>
      <c r="D52" s="212"/>
      <c r="E52" s="208">
        <f>SUM(E47:E51)</f>
        <v>31754792.5</v>
      </c>
      <c r="F52" s="204" t="s">
        <v>142</v>
      </c>
      <c r="G52" s="205"/>
      <c r="H52" s="224">
        <f>SUM(H42:H51)</f>
        <v>5231208.5083333328</v>
      </c>
      <c r="I52" s="230" t="s">
        <v>143</v>
      </c>
      <c r="J52" s="231"/>
      <c r="K52" s="237">
        <f>SUM(L45:L51)</f>
        <v>14078935.47625</v>
      </c>
      <c r="L52" s="238"/>
      <c r="M52" s="190" t="s">
        <v>144</v>
      </c>
      <c r="N52" s="190"/>
      <c r="O52" s="92"/>
      <c r="P52" s="93"/>
      <c r="Q52" s="93"/>
      <c r="R52" s="94">
        <v>2.9999999999999997E-4</v>
      </c>
      <c r="S52" s="95"/>
      <c r="T52" s="96"/>
      <c r="U52" s="65" t="s">
        <v>173</v>
      </c>
      <c r="V52" s="52"/>
      <c r="W52" s="52"/>
      <c r="X52" s="52"/>
      <c r="Y52" s="54"/>
      <c r="Z52" s="55"/>
    </row>
    <row r="53" spans="1:27" ht="12.75" thickTop="1" thickBot="1" x14ac:dyDescent="0.25">
      <c r="A53" s="213"/>
      <c r="B53" s="214"/>
      <c r="C53" s="214"/>
      <c r="D53" s="215"/>
      <c r="E53" s="209"/>
      <c r="F53" s="206"/>
      <c r="G53" s="207"/>
      <c r="H53" s="225"/>
      <c r="I53" s="232"/>
      <c r="J53" s="233"/>
      <c r="K53" s="239"/>
      <c r="L53" s="240"/>
      <c r="M53" s="190" t="s">
        <v>145</v>
      </c>
      <c r="N53" s="190"/>
      <c r="O53" s="97">
        <v>0.05</v>
      </c>
      <c r="P53" s="97">
        <v>0.1</v>
      </c>
      <c r="Q53" s="97"/>
      <c r="R53" s="97"/>
      <c r="S53" s="95"/>
      <c r="T53" s="96"/>
      <c r="U53" s="8"/>
      <c r="V53" s="52"/>
      <c r="W53" s="52"/>
      <c r="X53" s="52"/>
      <c r="Y53" s="54"/>
      <c r="Z53" s="54"/>
      <c r="AA53" s="8"/>
    </row>
    <row r="54" spans="1:27" ht="12.75" customHeight="1" thickTop="1" thickBot="1" x14ac:dyDescent="0.3">
      <c r="A54" s="198" t="s">
        <v>146</v>
      </c>
      <c r="B54" s="199"/>
      <c r="C54" s="199"/>
      <c r="D54" s="199"/>
      <c r="E54" s="200"/>
      <c r="F54" s="216">
        <f>E52-H52</f>
        <v>26523583.991666667</v>
      </c>
      <c r="G54" s="217"/>
      <c r="H54" s="218"/>
      <c r="I54" s="222" t="s">
        <v>147</v>
      </c>
      <c r="J54" s="223"/>
      <c r="K54" s="222" t="s">
        <v>148</v>
      </c>
      <c r="L54" s="223"/>
      <c r="M54" s="190" t="s">
        <v>149</v>
      </c>
      <c r="N54" s="190"/>
      <c r="O54" s="98">
        <v>5.0000000000000001E-3</v>
      </c>
      <c r="P54" s="99">
        <v>0.02</v>
      </c>
      <c r="Q54" s="99"/>
      <c r="R54" s="99"/>
      <c r="S54" s="95"/>
      <c r="T54" s="96"/>
      <c r="U54" s="65"/>
      <c r="V54" s="52"/>
      <c r="W54" s="52"/>
      <c r="X54" s="52"/>
      <c r="Y54" s="54"/>
      <c r="Z54" s="54"/>
      <c r="AA54" s="8"/>
    </row>
    <row r="55" spans="1:27" ht="14.25" customHeight="1" thickTop="1" thickBot="1" x14ac:dyDescent="0.25">
      <c r="A55" s="201"/>
      <c r="B55" s="202"/>
      <c r="C55" s="202"/>
      <c r="D55" s="202"/>
      <c r="E55" s="203"/>
      <c r="F55" s="219"/>
      <c r="G55" s="220"/>
      <c r="H55" s="221"/>
      <c r="I55" s="222" t="s">
        <v>150</v>
      </c>
      <c r="J55" s="223"/>
      <c r="K55" s="222" t="s">
        <v>151</v>
      </c>
      <c r="L55" s="223"/>
      <c r="M55" s="190" t="s">
        <v>152</v>
      </c>
      <c r="N55" s="190"/>
      <c r="O55" s="100">
        <v>2.0000000000000001E-4</v>
      </c>
      <c r="P55" s="101">
        <v>2.9999999999999997E-4</v>
      </c>
      <c r="Q55" s="92"/>
      <c r="R55" s="102"/>
      <c r="S55" s="103"/>
      <c r="T55" s="104"/>
      <c r="U55" s="12"/>
      <c r="V55" s="13"/>
      <c r="W55" s="57"/>
      <c r="X55" s="57"/>
      <c r="Y55" s="58"/>
      <c r="Z55" s="59"/>
      <c r="AA55" s="8"/>
    </row>
    <row r="56" spans="1:27" ht="12" thickTop="1" x14ac:dyDescent="0.2">
      <c r="V56" s="2"/>
    </row>
    <row r="57" spans="1:27" x14ac:dyDescent="0.2">
      <c r="V57" s="2"/>
    </row>
    <row r="58" spans="1:27" x14ac:dyDescent="0.2">
      <c r="V58" s="2"/>
    </row>
    <row r="59" spans="1:27" x14ac:dyDescent="0.2">
      <c r="V59" s="2"/>
    </row>
    <row r="60" spans="1:27" x14ac:dyDescent="0.2">
      <c r="V60" s="2"/>
    </row>
    <row r="61" spans="1:27" x14ac:dyDescent="0.2">
      <c r="V61" s="2"/>
    </row>
  </sheetData>
  <mergeCells count="60">
    <mergeCell ref="A3:Y3"/>
    <mergeCell ref="Z10:Z12"/>
    <mergeCell ref="K55:L55"/>
    <mergeCell ref="K52:L53"/>
    <mergeCell ref="M52:N52"/>
    <mergeCell ref="M53:N53"/>
    <mergeCell ref="M44:T45"/>
    <mergeCell ref="M46:N46"/>
    <mergeCell ref="M47:N47"/>
    <mergeCell ref="M48:N48"/>
    <mergeCell ref="K54:L54"/>
    <mergeCell ref="T11:V11"/>
    <mergeCell ref="U44:Z44"/>
    <mergeCell ref="U45:Z45"/>
    <mergeCell ref="U46:Z46"/>
    <mergeCell ref="A48:D48"/>
    <mergeCell ref="A49:D49"/>
    <mergeCell ref="A50:D50"/>
    <mergeCell ref="I52:J53"/>
    <mergeCell ref="I50:J50"/>
    <mergeCell ref="F50:G50"/>
    <mergeCell ref="A51:D51"/>
    <mergeCell ref="F54:H55"/>
    <mergeCell ref="I54:J54"/>
    <mergeCell ref="I55:J55"/>
    <mergeCell ref="H52:H53"/>
    <mergeCell ref="F45:H46"/>
    <mergeCell ref="I49:J49"/>
    <mergeCell ref="I48:J48"/>
    <mergeCell ref="F47:G47"/>
    <mergeCell ref="F48:G48"/>
    <mergeCell ref="F49:G49"/>
    <mergeCell ref="I47:J47"/>
    <mergeCell ref="A4:Y4"/>
    <mergeCell ref="A6:N6"/>
    <mergeCell ref="O6:Y6"/>
    <mergeCell ref="M55:N55"/>
    <mergeCell ref="K11:N11"/>
    <mergeCell ref="Y10:Y12"/>
    <mergeCell ref="M54:N54"/>
    <mergeCell ref="M49:N49"/>
    <mergeCell ref="M51:N51"/>
    <mergeCell ref="M50:N50"/>
    <mergeCell ref="I51:J51"/>
    <mergeCell ref="F51:G51"/>
    <mergeCell ref="A54:E55"/>
    <mergeCell ref="F52:G53"/>
    <mergeCell ref="E52:E53"/>
    <mergeCell ref="A52:D53"/>
    <mergeCell ref="A47:D47"/>
    <mergeCell ref="A45:E46"/>
    <mergeCell ref="I44:J44"/>
    <mergeCell ref="I45:J45"/>
    <mergeCell ref="S10:S12"/>
    <mergeCell ref="S46:T46"/>
    <mergeCell ref="T10:X10"/>
    <mergeCell ref="G10:R10"/>
    <mergeCell ref="I46:J46"/>
    <mergeCell ref="A44:H44"/>
    <mergeCell ref="G11:J11"/>
  </mergeCells>
  <printOptions verticalCentered="1"/>
  <pageMargins left="0.25" right="3.937007874015748E-2" top="0.51181102362204722" bottom="0.39370078740157483" header="0" footer="0"/>
  <pageSetup paperSize="5" scale="55" orientation="landscape" horizontalDpi="4294967294" verticalDpi="144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E569"/>
  <sheetViews>
    <sheetView topLeftCell="A25" zoomScale="82" zoomScaleNormal="82" workbookViewId="0">
      <selection activeCell="I329" sqref="I329"/>
    </sheetView>
  </sheetViews>
  <sheetFormatPr baseColWidth="10" defaultColWidth="11.42578125" defaultRowHeight="12.75" x14ac:dyDescent="0.2"/>
  <cols>
    <col min="1" max="1" width="31.28515625" style="22" customWidth="1"/>
    <col min="2" max="2" width="17.28515625" style="22" customWidth="1"/>
    <col min="3" max="3" width="21.42578125" style="22" customWidth="1"/>
    <col min="4" max="4" width="13.85546875" style="22" customWidth="1"/>
    <col min="5" max="16384" width="11.42578125" style="22"/>
  </cols>
  <sheetData>
    <row r="1" spans="1:5" x14ac:dyDescent="0.2">
      <c r="A1" s="255"/>
      <c r="B1" s="256"/>
      <c r="C1" s="256"/>
      <c r="D1" s="256"/>
      <c r="E1" s="257"/>
    </row>
    <row r="2" spans="1:5" ht="18" x14ac:dyDescent="0.25">
      <c r="A2" s="269" t="s">
        <v>153</v>
      </c>
      <c r="B2" s="270"/>
      <c r="C2" s="270"/>
      <c r="D2" s="270"/>
      <c r="E2" s="271"/>
    </row>
    <row r="3" spans="1:5" ht="18" x14ac:dyDescent="0.25">
      <c r="A3" s="272" t="s">
        <v>154</v>
      </c>
      <c r="B3" s="273"/>
      <c r="C3" s="273"/>
      <c r="D3" s="273"/>
      <c r="E3" s="274"/>
    </row>
    <row r="4" spans="1:5" ht="15" x14ac:dyDescent="0.2">
      <c r="A4" s="275" t="s">
        <v>174</v>
      </c>
      <c r="B4" s="276"/>
      <c r="C4" s="276"/>
      <c r="D4" s="276"/>
      <c r="E4" s="277"/>
    </row>
    <row r="5" spans="1:5" ht="13.5" thickBot="1" x14ac:dyDescent="0.25">
      <c r="A5" s="258"/>
      <c r="B5" s="259"/>
      <c r="C5" s="259"/>
      <c r="D5" s="259"/>
      <c r="E5" s="260"/>
    </row>
    <row r="6" spans="1:5" ht="15.75" thickBot="1" x14ac:dyDescent="0.25">
      <c r="A6" s="34" t="s">
        <v>155</v>
      </c>
      <c r="B6" s="261" t="s">
        <v>5</v>
      </c>
      <c r="C6" s="262"/>
      <c r="D6" s="262"/>
      <c r="E6" s="263"/>
    </row>
    <row r="7" spans="1:5" ht="15.75" thickBot="1" x14ac:dyDescent="0.25">
      <c r="A7" s="35" t="s">
        <v>156</v>
      </c>
      <c r="B7" s="266" t="str">
        <f>IF(ISBLANK(B6),"",IF(ISERROR(VLOOKUP(B6,planillanomina,2,FALSE)),"no existe",VLOOKUP(B6,planillanomina,2,FALSE)))</f>
        <v>Ospina Borja Pedro Nel</v>
      </c>
      <c r="C7" s="267"/>
      <c r="D7" s="267"/>
      <c r="E7" s="268"/>
    </row>
    <row r="8" spans="1:5" ht="15.75" thickBot="1" x14ac:dyDescent="0.25">
      <c r="A8" s="264"/>
      <c r="B8" s="265"/>
      <c r="C8" s="265"/>
      <c r="D8" s="265"/>
      <c r="E8" s="116"/>
    </row>
    <row r="9" spans="1:5" ht="15.75" thickBot="1" x14ac:dyDescent="0.25">
      <c r="A9" s="117" t="s">
        <v>157</v>
      </c>
      <c r="B9" s="152">
        <f>IF(ISERROR(VLOOKUP(B6,planillanomina,6,FALSE)),"",VLOOKUP(B6,planillanomina,6,FALSE))</f>
        <v>700000</v>
      </c>
      <c r="C9" s="118" t="s">
        <v>158</v>
      </c>
      <c r="D9" s="153">
        <f>IF(ISERROR(VLOOKUP(B6,planillanomina,20,FALSE)),"",VLOOKUP(B6,planillanomina,20,FALSE))</f>
        <v>29200</v>
      </c>
      <c r="E9" s="119" t="str">
        <f>IF(ISERROR(VLOOKUP(#REF!,planillanomina,19,FALSE)),"",VLOOKUP(#REF!,planillanomina,19,FALSE))</f>
        <v/>
      </c>
    </row>
    <row r="10" spans="1:5" ht="15.75" thickBot="1" x14ac:dyDescent="0.25">
      <c r="A10" s="120" t="s">
        <v>159</v>
      </c>
      <c r="B10" s="152">
        <f>IF(ISERROR(VLOOKUP(B6,planillanomina,15,FALSE)),"",VLOOKUP(B6,planillanomina,15,FALSE))</f>
        <v>0</v>
      </c>
      <c r="C10" s="121" t="s">
        <v>160</v>
      </c>
      <c r="D10" s="153">
        <f>IF(ISERROR(VLOOKUP(B6,planillanomina,21,FALSE)),"",VLOOKUP(B6,planillanomina,21,FALSE))</f>
        <v>29200</v>
      </c>
      <c r="E10" s="119" t="str">
        <f t="shared" ref="E10:E15" si="0">IF(ISERROR(VLOOKUP(E1,planillanomina,19,FALSE)),"",VLOOKUP(E1,planillanomina,19,FALSE))</f>
        <v/>
      </c>
    </row>
    <row r="11" spans="1:5" ht="15.75" thickBot="1" x14ac:dyDescent="0.25">
      <c r="A11" s="122" t="s">
        <v>161</v>
      </c>
      <c r="B11" s="152">
        <f>IF(ISERROR(VLOOKUP(B6,planillanomina,16,FALSE)),"",VLOOKUP(B6,planillanomina,16,FALSE))</f>
        <v>74000</v>
      </c>
      <c r="C11" s="121" t="s">
        <v>162</v>
      </c>
      <c r="D11" s="153">
        <f>IF(ISERROR(VLOOKUP(B6,planillanomina,22,FALSE)),"",VLOOKUP(B6,planillanomina,22,FALSE))</f>
        <v>0</v>
      </c>
      <c r="E11" s="119" t="str">
        <f t="shared" si="0"/>
        <v/>
      </c>
    </row>
    <row r="12" spans="1:5" ht="15.75" thickBot="1" x14ac:dyDescent="0.25">
      <c r="A12" s="120" t="s">
        <v>163</v>
      </c>
      <c r="B12" s="152">
        <f>IF(ISERROR(VLOOKUP(B6,planillanomina,17,FALSE)),"",VLOOKUP(B6,planillanomina,17,FALSE))</f>
        <v>0</v>
      </c>
      <c r="C12" s="121" t="s">
        <v>164</v>
      </c>
      <c r="D12" s="153">
        <f>IF(ISERROR(VLOOKUP(B6,planillanomina,23,FALSE)),"",VLOOKUP(B6,planillanomina,23,FALSE))</f>
        <v>40200</v>
      </c>
      <c r="E12" s="119" t="str">
        <f t="shared" si="0"/>
        <v/>
      </c>
    </row>
    <row r="13" spans="1:5" ht="15.75" thickBot="1" x14ac:dyDescent="0.25">
      <c r="A13" s="120" t="s">
        <v>165</v>
      </c>
      <c r="B13" s="152">
        <f>IF(ISERROR(VLOOKUP(B6,planillanomina,18,FALSE)),"",VLOOKUP(B6,planillanomina,18,FALSE))</f>
        <v>30000</v>
      </c>
      <c r="C13" s="123" t="s">
        <v>166</v>
      </c>
      <c r="D13" s="153">
        <f>IF(ISERROR(VLOOKUP(B6,planillanomina,24,FALSE)),"",VLOOKUP(B6,planillanomina,24,FALSE))</f>
        <v>3500</v>
      </c>
      <c r="E13" s="119" t="str">
        <f t="shared" si="0"/>
        <v/>
      </c>
    </row>
    <row r="14" spans="1:5" ht="13.5" thickBot="1" x14ac:dyDescent="0.25">
      <c r="A14" s="124"/>
      <c r="B14" s="152"/>
      <c r="C14" s="125"/>
      <c r="D14" s="153"/>
      <c r="E14" s="119" t="str">
        <f t="shared" si="0"/>
        <v/>
      </c>
    </row>
    <row r="15" spans="1:5" ht="15.75" thickBot="1" x14ac:dyDescent="0.25">
      <c r="A15" s="126" t="s">
        <v>167</v>
      </c>
      <c r="B15" s="152">
        <f>IF(ISERROR(VLOOKUP(B6,planillanomina,19,FALSE)),"",VLOOKUP(B6,planillanomina,19,FALSE))</f>
        <v>804000</v>
      </c>
      <c r="C15" s="127" t="s">
        <v>168</v>
      </c>
      <c r="D15" s="153">
        <f>IF(ISERROR(VLOOKUP(B6,planillanomina,25,FALSE)),"",VLOOKUP(B6,planillanomina,25,FALSE))</f>
        <v>102100</v>
      </c>
      <c r="E15" s="119" t="str">
        <f t="shared" si="0"/>
        <v/>
      </c>
    </row>
    <row r="16" spans="1:5" x14ac:dyDescent="0.2">
      <c r="A16" s="124"/>
      <c r="B16" s="128"/>
      <c r="C16" s="125"/>
      <c r="D16" s="125"/>
      <c r="E16" s="116"/>
    </row>
    <row r="17" spans="1:5" ht="13.5" thickBot="1" x14ac:dyDescent="0.25">
      <c r="A17" s="129"/>
      <c r="B17" s="130"/>
      <c r="C17" s="131"/>
      <c r="D17" s="131"/>
      <c r="E17" s="132"/>
    </row>
    <row r="18" spans="1:5" ht="18.75" thickBot="1" x14ac:dyDescent="0.3">
      <c r="B18" s="36"/>
      <c r="C18" s="37" t="s">
        <v>87</v>
      </c>
      <c r="D18" s="253">
        <f>IF(ISERROR(VLOOKUP(B6,planillanomina,26,FALSE)),"",VLOOKUP(B6,planillanomina,26,FALSE))</f>
        <v>701900</v>
      </c>
      <c r="E18" s="254" t="str">
        <f>IF(ISERROR(VLOOKUP(C9,planillanomina,25,FALSE)),"",VLOOKUP(C9,planillanomina,25,FALSE))</f>
        <v/>
      </c>
    </row>
    <row r="19" spans="1:5" ht="13.5" thickBot="1" x14ac:dyDescent="0.25">
      <c r="B19" s="36"/>
    </row>
    <row r="20" spans="1:5" x14ac:dyDescent="0.2">
      <c r="A20" s="255"/>
      <c r="B20" s="256"/>
      <c r="C20" s="256"/>
      <c r="D20" s="256"/>
      <c r="E20" s="257"/>
    </row>
    <row r="21" spans="1:5" ht="18" x14ac:dyDescent="0.25">
      <c r="A21" s="269" t="s">
        <v>153</v>
      </c>
      <c r="B21" s="270"/>
      <c r="C21" s="270"/>
      <c r="D21" s="270"/>
      <c r="E21" s="271"/>
    </row>
    <row r="22" spans="1:5" ht="18" x14ac:dyDescent="0.25">
      <c r="A22" s="272" t="s">
        <v>154</v>
      </c>
      <c r="B22" s="273"/>
      <c r="C22" s="273"/>
      <c r="D22" s="273"/>
      <c r="E22" s="274"/>
    </row>
    <row r="23" spans="1:5" ht="15" x14ac:dyDescent="0.2">
      <c r="A23" s="275" t="s">
        <v>174</v>
      </c>
      <c r="B23" s="276"/>
      <c r="C23" s="276"/>
      <c r="D23" s="276"/>
      <c r="E23" s="277"/>
    </row>
    <row r="24" spans="1:5" ht="13.5" thickBot="1" x14ac:dyDescent="0.25">
      <c r="A24" s="258"/>
      <c r="B24" s="259"/>
      <c r="C24" s="259"/>
      <c r="D24" s="259"/>
      <c r="E24" s="260"/>
    </row>
    <row r="25" spans="1:5" ht="15.75" thickBot="1" x14ac:dyDescent="0.25">
      <c r="A25" s="34" t="s">
        <v>155</v>
      </c>
      <c r="B25" s="261" t="s">
        <v>8</v>
      </c>
      <c r="C25" s="262"/>
      <c r="D25" s="262"/>
      <c r="E25" s="263"/>
    </row>
    <row r="26" spans="1:5" ht="15.75" thickBot="1" x14ac:dyDescent="0.25">
      <c r="A26" s="35" t="s">
        <v>156</v>
      </c>
      <c r="B26" s="266" t="str">
        <f>IF(ISBLANK(B25),"",IF(ISERROR(VLOOKUP(B25,planillanomina,2,FALSE)),"no existe",VLOOKUP(B25,planillanomina,2,FALSE)))</f>
        <v>Andrés Felipe Ramírez</v>
      </c>
      <c r="C26" s="267"/>
      <c r="D26" s="267"/>
      <c r="E26" s="268"/>
    </row>
    <row r="27" spans="1:5" ht="15.75" thickBot="1" x14ac:dyDescent="0.25">
      <c r="A27" s="278"/>
      <c r="B27" s="279"/>
      <c r="C27" s="279"/>
      <c r="D27" s="279"/>
      <c r="E27" s="133"/>
    </row>
    <row r="28" spans="1:5" ht="15.75" thickBot="1" x14ac:dyDescent="0.25">
      <c r="A28" s="134" t="s">
        <v>157</v>
      </c>
      <c r="B28" s="135">
        <f>IF(ISERROR(VLOOKUP(B25,planillanomina,6,FALSE)),"",VLOOKUP(B25,planillanomina,6,FALSE))</f>
        <v>620000</v>
      </c>
      <c r="C28" s="136" t="s">
        <v>158</v>
      </c>
      <c r="D28" s="137">
        <f>IF(ISERROR(VLOOKUP(B25,planillanomina,20,FALSE)),"",VLOOKUP(B25,planillanomina,20,FALSE))</f>
        <v>28400</v>
      </c>
      <c r="E28" s="138" t="str">
        <f>IF(ISERROR(VLOOKUP(#REF!,planillanomina,19,FALSE)),"",VLOOKUP(#REF!,planillanomina,19,FALSE))</f>
        <v/>
      </c>
    </row>
    <row r="29" spans="1:5" ht="15.75" thickBot="1" x14ac:dyDescent="0.25">
      <c r="A29" s="139" t="s">
        <v>159</v>
      </c>
      <c r="B29" s="135">
        <f>IF(ISERROR(VLOOKUP(B25,planillanomina,15,FALSE)),"",VLOOKUP(B25,planillanomina,15,FALSE))</f>
        <v>0</v>
      </c>
      <c r="C29" s="140" t="s">
        <v>160</v>
      </c>
      <c r="D29" s="137">
        <f>IF(ISERROR(VLOOKUP(B25,planillanomina,21,FALSE)),"",VLOOKUP(B25,planillanomina,21,FALSE))</f>
        <v>28400</v>
      </c>
      <c r="E29" s="138" t="str">
        <f t="shared" ref="E29:E34" si="1">IF(ISERROR(VLOOKUP(E20,planillanomina,19,FALSE)),"",VLOOKUP(E20,planillanomina,19,FALSE))</f>
        <v/>
      </c>
    </row>
    <row r="30" spans="1:5" ht="15.75" thickBot="1" x14ac:dyDescent="0.25">
      <c r="A30" s="141" t="s">
        <v>161</v>
      </c>
      <c r="B30" s="135">
        <f>IF(ISERROR(VLOOKUP(B25,planillanomina,16,FALSE)),"",VLOOKUP(B25,planillanomina,16,FALSE))</f>
        <v>74000</v>
      </c>
      <c r="C30" s="140" t="s">
        <v>162</v>
      </c>
      <c r="D30" s="137">
        <f>IF(ISERROR(VLOOKUP(B25,planillanomina,22,FALSE)),"",VLOOKUP(B25,planillanomina,22,FALSE))</f>
        <v>0</v>
      </c>
      <c r="E30" s="138" t="str">
        <f t="shared" si="1"/>
        <v/>
      </c>
    </row>
    <row r="31" spans="1:5" ht="15.75" thickBot="1" x14ac:dyDescent="0.25">
      <c r="A31" s="139" t="s">
        <v>163</v>
      </c>
      <c r="B31" s="135">
        <f>IF(ISERROR(VLOOKUP(B25,planillanomina,17,FALSE)),"",VLOOKUP(B25,planillanomina,17,FALSE))</f>
        <v>44999.999999999993</v>
      </c>
      <c r="C31" s="140" t="s">
        <v>164</v>
      </c>
      <c r="D31" s="137">
        <f>IF(ISERROR(VLOOKUP(B25,planillanomina,23,FALSE)),"",VLOOKUP(B25,planillanomina,23,FALSE))</f>
        <v>39200</v>
      </c>
      <c r="E31" s="138" t="str">
        <f t="shared" si="1"/>
        <v/>
      </c>
    </row>
    <row r="32" spans="1:5" ht="15.75" thickBot="1" x14ac:dyDescent="0.25">
      <c r="A32" s="139" t="s">
        <v>165</v>
      </c>
      <c r="B32" s="135">
        <f>IF(ISERROR(VLOOKUP(B25,planillanomina,18,FALSE)),"",VLOOKUP(B25,planillanomina,18,FALSE))</f>
        <v>44999.999999999993</v>
      </c>
      <c r="C32" s="142" t="s">
        <v>166</v>
      </c>
      <c r="D32" s="137">
        <f>IF(ISERROR(VLOOKUP(B25,planillanomina,24,FALSE)),"",VLOOKUP(B25,planillanomina,24,FALSE))</f>
        <v>3100</v>
      </c>
      <c r="E32" s="138" t="str">
        <f t="shared" si="1"/>
        <v/>
      </c>
    </row>
    <row r="33" spans="1:5" ht="13.5" thickBot="1" x14ac:dyDescent="0.25">
      <c r="A33" s="143"/>
      <c r="B33" s="135"/>
      <c r="C33" s="144"/>
      <c r="D33" s="137"/>
      <c r="E33" s="138" t="str">
        <f t="shared" si="1"/>
        <v/>
      </c>
    </row>
    <row r="34" spans="1:5" ht="15.75" thickBot="1" x14ac:dyDescent="0.25">
      <c r="A34" s="145" t="s">
        <v>167</v>
      </c>
      <c r="B34" s="135">
        <f>IF(ISERROR(VLOOKUP(B25,planillanomina,19,FALSE)),"",VLOOKUP(B25,planillanomina,19,FALSE))</f>
        <v>784000</v>
      </c>
      <c r="C34" s="146" t="s">
        <v>168</v>
      </c>
      <c r="D34" s="137">
        <f>IF(ISERROR(VLOOKUP(B25,planillanomina,25,FALSE)),"",VLOOKUP(B25,planillanomina,25,FALSE))</f>
        <v>99100</v>
      </c>
      <c r="E34" s="138" t="str">
        <f t="shared" si="1"/>
        <v/>
      </c>
    </row>
    <row r="35" spans="1:5" x14ac:dyDescent="0.2">
      <c r="A35" s="143"/>
      <c r="B35" s="147"/>
      <c r="C35" s="144"/>
      <c r="D35" s="144"/>
      <c r="E35" s="133"/>
    </row>
    <row r="36" spans="1:5" ht="13.5" thickBot="1" x14ac:dyDescent="0.25">
      <c r="A36" s="148"/>
      <c r="B36" s="149"/>
      <c r="C36" s="150"/>
      <c r="D36" s="150"/>
      <c r="E36" s="151"/>
    </row>
    <row r="37" spans="1:5" ht="18.75" thickBot="1" x14ac:dyDescent="0.3">
      <c r="B37" s="36"/>
      <c r="C37" s="37" t="s">
        <v>87</v>
      </c>
      <c r="D37" s="253">
        <f>IF(ISERROR(VLOOKUP(B25,planillanomina,26,FALSE)),"",VLOOKUP(B25,planillanomina,26,FALSE))</f>
        <v>684900</v>
      </c>
      <c r="E37" s="254" t="str">
        <f>IF(ISERROR(VLOOKUP(C28,planillanomina,25,FALSE)),"",VLOOKUP(C28,planillanomina,25,FALSE))</f>
        <v/>
      </c>
    </row>
    <row r="38" spans="1:5" ht="13.5" thickBot="1" x14ac:dyDescent="0.25"/>
    <row r="39" spans="1:5" x14ac:dyDescent="0.2">
      <c r="A39" s="255"/>
      <c r="B39" s="256"/>
      <c r="C39" s="256"/>
      <c r="D39" s="256"/>
      <c r="E39" s="257"/>
    </row>
    <row r="40" spans="1:5" ht="18" x14ac:dyDescent="0.25">
      <c r="A40" s="269" t="s">
        <v>153</v>
      </c>
      <c r="B40" s="270"/>
      <c r="C40" s="270"/>
      <c r="D40" s="270"/>
      <c r="E40" s="271"/>
    </row>
    <row r="41" spans="1:5" ht="18" x14ac:dyDescent="0.25">
      <c r="A41" s="272" t="s">
        <v>154</v>
      </c>
      <c r="B41" s="273"/>
      <c r="C41" s="273"/>
      <c r="D41" s="273"/>
      <c r="E41" s="274"/>
    </row>
    <row r="42" spans="1:5" ht="15" x14ac:dyDescent="0.2">
      <c r="A42" s="275" t="s">
        <v>174</v>
      </c>
      <c r="B42" s="276"/>
      <c r="C42" s="276"/>
      <c r="D42" s="276"/>
      <c r="E42" s="277"/>
    </row>
    <row r="43" spans="1:5" ht="13.5" thickBot="1" x14ac:dyDescent="0.25">
      <c r="A43" s="258"/>
      <c r="B43" s="259"/>
      <c r="C43" s="259"/>
      <c r="D43" s="259"/>
      <c r="E43" s="260"/>
    </row>
    <row r="44" spans="1:5" ht="15.75" thickBot="1" x14ac:dyDescent="0.25">
      <c r="A44" s="34" t="s">
        <v>155</v>
      </c>
      <c r="B44" s="261" t="s">
        <v>11</v>
      </c>
      <c r="C44" s="262"/>
      <c r="D44" s="262"/>
      <c r="E44" s="263"/>
    </row>
    <row r="45" spans="1:5" ht="15.75" thickBot="1" x14ac:dyDescent="0.25">
      <c r="A45" s="35" t="s">
        <v>156</v>
      </c>
      <c r="B45" s="266" t="str">
        <f>IF(ISBLANK(B44),"",IF(ISERROR(VLOOKUP(B44,planillanomina,2,FALSE)),"no existe",VLOOKUP(B44,planillanomina,2,FALSE)))</f>
        <v>Ángela María Hernández</v>
      </c>
      <c r="C45" s="267"/>
      <c r="D45" s="267"/>
      <c r="E45" s="268"/>
    </row>
    <row r="46" spans="1:5" ht="15.75" thickBot="1" x14ac:dyDescent="0.25">
      <c r="A46" s="278"/>
      <c r="B46" s="279"/>
      <c r="C46" s="279"/>
      <c r="D46" s="279"/>
      <c r="E46" s="133"/>
    </row>
    <row r="47" spans="1:5" ht="15.75" thickBot="1" x14ac:dyDescent="0.25">
      <c r="A47" s="134" t="s">
        <v>157</v>
      </c>
      <c r="B47" s="135">
        <f>IF(ISERROR(VLOOKUP(B44,planillanomina,6,FALSE)),"",VLOOKUP(B44,planillanomina,6,FALSE))</f>
        <v>900000</v>
      </c>
      <c r="C47" s="136" t="s">
        <v>158</v>
      </c>
      <c r="D47" s="137">
        <f>IF(ISERROR(VLOOKUP(B44,planillanomina,20,FALSE)),"",VLOOKUP(B44,planillanomina,20,FALSE))</f>
        <v>37200</v>
      </c>
      <c r="E47" s="138" t="str">
        <f>IF(ISERROR(VLOOKUP(#REF!,planillanomina,19,FALSE)),"",VLOOKUP(#REF!,planillanomina,19,FALSE))</f>
        <v/>
      </c>
    </row>
    <row r="48" spans="1:5" ht="15.75" thickBot="1" x14ac:dyDescent="0.25">
      <c r="A48" s="139" t="s">
        <v>159</v>
      </c>
      <c r="B48" s="135">
        <f>IF(ISERROR(VLOOKUP(B44,planillanomina,15,FALSE)),"",VLOOKUP(B44,planillanomina,15,FALSE))</f>
        <v>0</v>
      </c>
      <c r="C48" s="140" t="s">
        <v>160</v>
      </c>
      <c r="D48" s="137">
        <f>IF(ISERROR(VLOOKUP(B44,planillanomina,21,FALSE)),"",VLOOKUP(B44,planillanomina,21,FALSE))</f>
        <v>37200</v>
      </c>
      <c r="E48" s="138" t="str">
        <f t="shared" ref="E48:E53" si="2">IF(ISERROR(VLOOKUP(E39,planillanomina,19,FALSE)),"",VLOOKUP(E39,planillanomina,19,FALSE))</f>
        <v/>
      </c>
    </row>
    <row r="49" spans="1:5" ht="15.75" thickBot="1" x14ac:dyDescent="0.25">
      <c r="A49" s="141" t="s">
        <v>161</v>
      </c>
      <c r="B49" s="135">
        <f>IF(ISERROR(VLOOKUP(B44,planillanomina,16,FALSE)),"",VLOOKUP(B44,planillanomina,16,FALSE))</f>
        <v>74000</v>
      </c>
      <c r="C49" s="140" t="s">
        <v>162</v>
      </c>
      <c r="D49" s="137">
        <f>IF(ISERROR(VLOOKUP(B44,planillanomina,22,FALSE)),"",VLOOKUP(B44,planillanomina,22,FALSE))</f>
        <v>0</v>
      </c>
      <c r="E49" s="138" t="str">
        <f t="shared" si="2"/>
        <v/>
      </c>
    </row>
    <row r="50" spans="1:5" ht="15.75" thickBot="1" x14ac:dyDescent="0.25">
      <c r="A50" s="139" t="s">
        <v>163</v>
      </c>
      <c r="B50" s="135">
        <f>IF(ISERROR(VLOOKUP(B44,planillanomina,17,FALSE)),"",VLOOKUP(B44,planillanomina,17,FALSE))</f>
        <v>0</v>
      </c>
      <c r="C50" s="140" t="s">
        <v>164</v>
      </c>
      <c r="D50" s="137">
        <f>IF(ISERROR(VLOOKUP(B44,planillanomina,23,FALSE)),"",VLOOKUP(B44,planillanomina,23,FALSE))</f>
        <v>100400</v>
      </c>
      <c r="E50" s="138" t="str">
        <f t="shared" si="2"/>
        <v/>
      </c>
    </row>
    <row r="51" spans="1:5" ht="15.75" thickBot="1" x14ac:dyDescent="0.25">
      <c r="A51" s="139" t="s">
        <v>165</v>
      </c>
      <c r="B51" s="135">
        <f>IF(ISERROR(VLOOKUP(B44,planillanomina,18,FALSE)),"",VLOOKUP(B44,planillanomina,18,FALSE))</f>
        <v>30000</v>
      </c>
      <c r="C51" s="142" t="s">
        <v>166</v>
      </c>
      <c r="D51" s="137">
        <f>IF(ISERROR(VLOOKUP(B44,planillanomina,24,FALSE)),"",VLOOKUP(B44,planillanomina,24,FALSE))</f>
        <v>18000</v>
      </c>
      <c r="E51" s="138" t="str">
        <f t="shared" si="2"/>
        <v/>
      </c>
    </row>
    <row r="52" spans="1:5" ht="13.5" thickBot="1" x14ac:dyDescent="0.25">
      <c r="A52" s="143"/>
      <c r="B52" s="135"/>
      <c r="C52" s="144"/>
      <c r="D52" s="137"/>
      <c r="E52" s="138" t="str">
        <f t="shared" si="2"/>
        <v/>
      </c>
    </row>
    <row r="53" spans="1:5" ht="15.75" thickBot="1" x14ac:dyDescent="0.25">
      <c r="A53" s="145" t="s">
        <v>167</v>
      </c>
      <c r="B53" s="135">
        <f>IF(ISERROR(VLOOKUP(B44,planillanomina,19,FALSE)),"",VLOOKUP(B44,planillanomina,19,FALSE))</f>
        <v>1004000</v>
      </c>
      <c r="C53" s="146" t="s">
        <v>168</v>
      </c>
      <c r="D53" s="137">
        <f>IF(ISERROR(VLOOKUP(B44,planillanomina,25,FALSE)),"",VLOOKUP(B44,planillanomina,25,FALSE))</f>
        <v>192800</v>
      </c>
      <c r="E53" s="138" t="str">
        <f t="shared" si="2"/>
        <v/>
      </c>
    </row>
    <row r="54" spans="1:5" x14ac:dyDescent="0.2">
      <c r="A54" s="143"/>
      <c r="B54" s="147"/>
      <c r="C54" s="144"/>
      <c r="D54" s="144"/>
      <c r="E54" s="133"/>
    </row>
    <row r="55" spans="1:5" ht="13.5" thickBot="1" x14ac:dyDescent="0.25">
      <c r="A55" s="148"/>
      <c r="B55" s="149"/>
      <c r="C55" s="150"/>
      <c r="D55" s="150"/>
      <c r="E55" s="151"/>
    </row>
    <row r="56" spans="1:5" ht="18.75" thickBot="1" x14ac:dyDescent="0.3">
      <c r="B56" s="36"/>
      <c r="C56" s="37" t="s">
        <v>87</v>
      </c>
      <c r="D56" s="253">
        <f>IF(ISERROR(VLOOKUP(B44,planillanomina,26,FALSE)),"",VLOOKUP(B44,planillanomina,26,FALSE))</f>
        <v>811200</v>
      </c>
      <c r="E56" s="254" t="str">
        <f>IF(ISERROR(VLOOKUP(C47,planillanomina,25,FALSE)),"",VLOOKUP(C47,planillanomina,25,FALSE))</f>
        <v/>
      </c>
    </row>
    <row r="57" spans="1:5" ht="13.5" thickBot="1" x14ac:dyDescent="0.25"/>
    <row r="58" spans="1:5" x14ac:dyDescent="0.2">
      <c r="A58" s="255"/>
      <c r="B58" s="256"/>
      <c r="C58" s="256"/>
      <c r="D58" s="256"/>
      <c r="E58" s="257"/>
    </row>
    <row r="59" spans="1:5" ht="18" x14ac:dyDescent="0.25">
      <c r="A59" s="269" t="s">
        <v>153</v>
      </c>
      <c r="B59" s="270"/>
      <c r="C59" s="270"/>
      <c r="D59" s="270"/>
      <c r="E59" s="271"/>
    </row>
    <row r="60" spans="1:5" ht="18" x14ac:dyDescent="0.25">
      <c r="A60" s="272" t="s">
        <v>154</v>
      </c>
      <c r="B60" s="273"/>
      <c r="C60" s="273"/>
      <c r="D60" s="273"/>
      <c r="E60" s="274"/>
    </row>
    <row r="61" spans="1:5" ht="15" x14ac:dyDescent="0.2">
      <c r="A61" s="275" t="s">
        <v>174</v>
      </c>
      <c r="B61" s="276"/>
      <c r="C61" s="276"/>
      <c r="D61" s="276"/>
      <c r="E61" s="277"/>
    </row>
    <row r="62" spans="1:5" ht="13.5" thickBot="1" x14ac:dyDescent="0.25">
      <c r="A62" s="258"/>
      <c r="B62" s="259"/>
      <c r="C62" s="259"/>
      <c r="D62" s="259"/>
      <c r="E62" s="260"/>
    </row>
    <row r="63" spans="1:5" ht="15.75" thickBot="1" x14ac:dyDescent="0.25">
      <c r="A63" s="34" t="s">
        <v>155</v>
      </c>
      <c r="B63" s="261" t="s">
        <v>14</v>
      </c>
      <c r="C63" s="262"/>
      <c r="D63" s="262"/>
      <c r="E63" s="263"/>
    </row>
    <row r="64" spans="1:5" ht="15.75" thickBot="1" x14ac:dyDescent="0.25">
      <c r="A64" s="35" t="s">
        <v>156</v>
      </c>
      <c r="B64" s="266" t="str">
        <f>IF(ISBLANK(B63),"",IF(ISERROR(VLOOKUP(B63,planillanomina,2,FALSE)),"no existe",VLOOKUP(B63,planillanomina,2,FALSE)))</f>
        <v>Camilo Ceballos</v>
      </c>
      <c r="C64" s="267"/>
      <c r="D64" s="267"/>
      <c r="E64" s="268"/>
    </row>
    <row r="65" spans="1:5" ht="15.75" thickBot="1" x14ac:dyDescent="0.25">
      <c r="A65" s="278"/>
      <c r="B65" s="279"/>
      <c r="C65" s="279"/>
      <c r="D65" s="279"/>
      <c r="E65" s="133"/>
    </row>
    <row r="66" spans="1:5" ht="15.75" thickBot="1" x14ac:dyDescent="0.25">
      <c r="A66" s="134" t="s">
        <v>157</v>
      </c>
      <c r="B66" s="135">
        <f>IF(ISERROR(VLOOKUP(B63,planillanomina,6,FALSE)),"",VLOOKUP(B63,planillanomina,6,FALSE))</f>
        <v>644350</v>
      </c>
      <c r="C66" s="136" t="s">
        <v>158</v>
      </c>
      <c r="D66" s="137">
        <f>IF(ISERROR(VLOOKUP(B63,planillanomina,20,FALSE)),"",VLOOKUP(B63,planillanomina,20,FALSE))</f>
        <v>29775.529166666667</v>
      </c>
      <c r="E66" s="138" t="str">
        <f>IF(ISERROR(VLOOKUP(#REF!,planillanomina,19,FALSE)),"",VLOOKUP(#REF!,planillanomina,19,FALSE))</f>
        <v/>
      </c>
    </row>
    <row r="67" spans="1:5" ht="15.75" thickBot="1" x14ac:dyDescent="0.25">
      <c r="A67" s="139" t="s">
        <v>159</v>
      </c>
      <c r="B67" s="135">
        <f>IF(ISERROR(VLOOKUP(B63,planillanomina,15,FALSE)),"",VLOOKUP(B63,planillanomina,15,FALSE))</f>
        <v>55038.229166666664</v>
      </c>
      <c r="C67" s="140" t="s">
        <v>160</v>
      </c>
      <c r="D67" s="137">
        <f>IF(ISERROR(VLOOKUP(B63,planillanomina,21,FALSE)),"",VLOOKUP(B63,planillanomina,21,FALSE))</f>
        <v>29775.529166666667</v>
      </c>
      <c r="E67" s="138" t="str">
        <f t="shared" ref="E67:E72" si="3">IF(ISERROR(VLOOKUP(E58,planillanomina,19,FALSE)),"",VLOOKUP(E58,planillanomina,19,FALSE))</f>
        <v/>
      </c>
    </row>
    <row r="68" spans="1:5" ht="15.75" thickBot="1" x14ac:dyDescent="0.25">
      <c r="A68" s="141" t="s">
        <v>161</v>
      </c>
      <c r="B68" s="135">
        <f>IF(ISERROR(VLOOKUP(B63,planillanomina,16,FALSE)),"",VLOOKUP(B63,planillanomina,16,FALSE))</f>
        <v>74000</v>
      </c>
      <c r="C68" s="140" t="s">
        <v>162</v>
      </c>
      <c r="D68" s="137">
        <f>IF(ISERROR(VLOOKUP(B63,planillanomina,22,FALSE)),"",VLOOKUP(B63,planillanomina,22,FALSE))</f>
        <v>0</v>
      </c>
      <c r="E68" s="138" t="str">
        <f t="shared" si="3"/>
        <v/>
      </c>
    </row>
    <row r="69" spans="1:5" ht="15.75" thickBot="1" x14ac:dyDescent="0.25">
      <c r="A69" s="139" t="s">
        <v>163</v>
      </c>
      <c r="B69" s="135">
        <f>IF(ISERROR(VLOOKUP(B63,planillanomina,17,FALSE)),"",VLOOKUP(B63,planillanomina,17,FALSE))</f>
        <v>0</v>
      </c>
      <c r="C69" s="140" t="s">
        <v>164</v>
      </c>
      <c r="D69" s="137">
        <f>IF(ISERROR(VLOOKUP(B63,planillanomina,23,FALSE)),"",VLOOKUP(B63,planillanomina,23,FALSE))</f>
        <v>40919.411458333336</v>
      </c>
      <c r="E69" s="138" t="str">
        <f t="shared" si="3"/>
        <v/>
      </c>
    </row>
    <row r="70" spans="1:5" ht="15.75" thickBot="1" x14ac:dyDescent="0.25">
      <c r="A70" s="139" t="s">
        <v>165</v>
      </c>
      <c r="B70" s="135">
        <f>IF(ISERROR(VLOOKUP(B63,planillanomina,18,FALSE)),"",VLOOKUP(B63,planillanomina,18,FALSE))</f>
        <v>44999.999999999993</v>
      </c>
      <c r="C70" s="142" t="s">
        <v>166</v>
      </c>
      <c r="D70" s="137">
        <f>IF(ISERROR(VLOOKUP(B63,planillanomina,24,FALSE)),"",VLOOKUP(B63,planillanomina,24,FALSE))</f>
        <v>3221.75</v>
      </c>
      <c r="E70" s="138" t="str">
        <f t="shared" si="3"/>
        <v/>
      </c>
    </row>
    <row r="71" spans="1:5" ht="13.5" thickBot="1" x14ac:dyDescent="0.25">
      <c r="A71" s="143"/>
      <c r="B71" s="135"/>
      <c r="C71" s="144"/>
      <c r="D71" s="137"/>
      <c r="E71" s="138" t="str">
        <f t="shared" si="3"/>
        <v/>
      </c>
    </row>
    <row r="72" spans="1:5" ht="15.75" thickBot="1" x14ac:dyDescent="0.25">
      <c r="A72" s="145" t="s">
        <v>167</v>
      </c>
      <c r="B72" s="135">
        <f>IF(ISERROR(VLOOKUP(B63,planillanomina,19,FALSE)),"",VLOOKUP(B63,planillanomina,19,FALSE))</f>
        <v>818388.22916666663</v>
      </c>
      <c r="C72" s="146" t="s">
        <v>168</v>
      </c>
      <c r="D72" s="137">
        <f>IF(ISERROR(VLOOKUP(B63,planillanomina,25,FALSE)),"",VLOOKUP(B63,planillanomina,25,FALSE))</f>
        <v>103692.21979166666</v>
      </c>
      <c r="E72" s="138" t="str">
        <f t="shared" si="3"/>
        <v/>
      </c>
    </row>
    <row r="73" spans="1:5" x14ac:dyDescent="0.2">
      <c r="A73" s="143"/>
      <c r="B73" s="147"/>
      <c r="C73" s="144"/>
      <c r="D73" s="144"/>
      <c r="E73" s="133"/>
    </row>
    <row r="74" spans="1:5" ht="13.5" thickBot="1" x14ac:dyDescent="0.25">
      <c r="A74" s="148"/>
      <c r="B74" s="149"/>
      <c r="C74" s="150"/>
      <c r="D74" s="150"/>
      <c r="E74" s="151"/>
    </row>
    <row r="75" spans="1:5" ht="18.75" thickBot="1" x14ac:dyDescent="0.3">
      <c r="B75" s="36"/>
      <c r="C75" s="37" t="s">
        <v>87</v>
      </c>
      <c r="D75" s="253">
        <f>IF(ISERROR(VLOOKUP(B63,planillanomina,26,FALSE)),"",VLOOKUP(B63,planillanomina,26,FALSE))</f>
        <v>714696.00937499991</v>
      </c>
      <c r="E75" s="254" t="str">
        <f>IF(ISERROR(VLOOKUP(C66,planillanomina,25,FALSE)),"",VLOOKUP(C66,planillanomina,25,FALSE))</f>
        <v/>
      </c>
    </row>
    <row r="76" spans="1:5" ht="13.5" thickBot="1" x14ac:dyDescent="0.25"/>
    <row r="77" spans="1:5" x14ac:dyDescent="0.2">
      <c r="A77" s="255"/>
      <c r="B77" s="256"/>
      <c r="C77" s="256"/>
      <c r="D77" s="256"/>
      <c r="E77" s="257"/>
    </row>
    <row r="78" spans="1:5" ht="18" x14ac:dyDescent="0.25">
      <c r="A78" s="269" t="s">
        <v>153</v>
      </c>
      <c r="B78" s="270"/>
      <c r="C78" s="270"/>
      <c r="D78" s="270"/>
      <c r="E78" s="271"/>
    </row>
    <row r="79" spans="1:5" ht="18" x14ac:dyDescent="0.25">
      <c r="A79" s="272" t="s">
        <v>154</v>
      </c>
      <c r="B79" s="273"/>
      <c r="C79" s="273"/>
      <c r="D79" s="273"/>
      <c r="E79" s="274"/>
    </row>
    <row r="80" spans="1:5" ht="15" x14ac:dyDescent="0.2">
      <c r="A80" s="275" t="s">
        <v>174</v>
      </c>
      <c r="B80" s="276"/>
      <c r="C80" s="276"/>
      <c r="D80" s="276"/>
      <c r="E80" s="277"/>
    </row>
    <row r="81" spans="1:5" ht="13.5" thickBot="1" x14ac:dyDescent="0.25">
      <c r="A81" s="258"/>
      <c r="B81" s="259"/>
      <c r="C81" s="259"/>
      <c r="D81" s="259"/>
      <c r="E81" s="260"/>
    </row>
    <row r="82" spans="1:5" ht="15.75" thickBot="1" x14ac:dyDescent="0.25">
      <c r="A82" s="34" t="s">
        <v>155</v>
      </c>
      <c r="B82" s="261" t="s">
        <v>17</v>
      </c>
      <c r="C82" s="262"/>
      <c r="D82" s="262"/>
      <c r="E82" s="263"/>
    </row>
    <row r="83" spans="1:5" ht="15.75" thickBot="1" x14ac:dyDescent="0.25">
      <c r="A83" s="35" t="s">
        <v>156</v>
      </c>
      <c r="B83" s="266" t="str">
        <f>IF(ISBLANK(B82),"",IF(ISERROR(VLOOKUP(B82,planillanomina,2,FALSE)),"no existe",VLOOKUP(B82,planillanomina,2,FALSE)))</f>
        <v>Carlos Andrés Giraldo</v>
      </c>
      <c r="C83" s="267"/>
      <c r="D83" s="267"/>
      <c r="E83" s="268"/>
    </row>
    <row r="84" spans="1:5" ht="15.75" thickBot="1" x14ac:dyDescent="0.25">
      <c r="A84" s="278"/>
      <c r="B84" s="279"/>
      <c r="C84" s="279"/>
      <c r="D84" s="279"/>
      <c r="E84" s="133"/>
    </row>
    <row r="85" spans="1:5" ht="15.75" thickBot="1" x14ac:dyDescent="0.25">
      <c r="A85" s="134" t="s">
        <v>157</v>
      </c>
      <c r="B85" s="135">
        <f>IF(ISERROR(VLOOKUP(B82,planillanomina,6,FALSE)),"",VLOOKUP(B82,planillanomina,6,FALSE))</f>
        <v>750000</v>
      </c>
      <c r="C85" s="136" t="s">
        <v>158</v>
      </c>
      <c r="D85" s="137">
        <f>IF(ISERROR(VLOOKUP(B82,planillanomina,20,FALSE)),"",VLOOKUP(B82,planillanomina,20,FALSE))</f>
        <v>31200</v>
      </c>
      <c r="E85" s="138" t="str">
        <f>IF(ISERROR(VLOOKUP(#REF!,planillanomina,19,FALSE)),"",VLOOKUP(#REF!,planillanomina,19,FALSE))</f>
        <v/>
      </c>
    </row>
    <row r="86" spans="1:5" ht="15.75" thickBot="1" x14ac:dyDescent="0.25">
      <c r="A86" s="139" t="s">
        <v>159</v>
      </c>
      <c r="B86" s="135">
        <f>IF(ISERROR(VLOOKUP(B82,planillanomina,15,FALSE)),"",VLOOKUP(B82,planillanomina,15,FALSE))</f>
        <v>0</v>
      </c>
      <c r="C86" s="140" t="s">
        <v>160</v>
      </c>
      <c r="D86" s="137">
        <f>IF(ISERROR(VLOOKUP(B82,planillanomina,21,FALSE)),"",VLOOKUP(B82,planillanomina,21,FALSE))</f>
        <v>31200</v>
      </c>
      <c r="E86" s="138" t="str">
        <f t="shared" ref="E86:E91" si="4">IF(ISERROR(VLOOKUP(E77,planillanomina,19,FALSE)),"",VLOOKUP(E77,planillanomina,19,FALSE))</f>
        <v/>
      </c>
    </row>
    <row r="87" spans="1:5" ht="15.75" thickBot="1" x14ac:dyDescent="0.25">
      <c r="A87" s="141" t="s">
        <v>161</v>
      </c>
      <c r="B87" s="135">
        <f>IF(ISERROR(VLOOKUP(B82,planillanomina,16,FALSE)),"",VLOOKUP(B82,planillanomina,16,FALSE))</f>
        <v>74000</v>
      </c>
      <c r="C87" s="140" t="s">
        <v>162</v>
      </c>
      <c r="D87" s="137">
        <f>IF(ISERROR(VLOOKUP(B82,planillanomina,22,FALSE)),"",VLOOKUP(B82,planillanomina,22,FALSE))</f>
        <v>0</v>
      </c>
      <c r="E87" s="138" t="str">
        <f t="shared" si="4"/>
        <v/>
      </c>
    </row>
    <row r="88" spans="1:5" ht="15.75" thickBot="1" x14ac:dyDescent="0.25">
      <c r="A88" s="139" t="s">
        <v>163</v>
      </c>
      <c r="B88" s="135">
        <f>IF(ISERROR(VLOOKUP(B82,planillanomina,17,FALSE)),"",VLOOKUP(B82,planillanomina,17,FALSE))</f>
        <v>0</v>
      </c>
      <c r="C88" s="140" t="s">
        <v>164</v>
      </c>
      <c r="D88" s="137">
        <f>IF(ISERROR(VLOOKUP(B82,planillanomina,23,FALSE)),"",VLOOKUP(B82,planillanomina,23,FALSE))</f>
        <v>85400</v>
      </c>
      <c r="E88" s="138" t="str">
        <f t="shared" si="4"/>
        <v/>
      </c>
    </row>
    <row r="89" spans="1:5" ht="15.75" thickBot="1" x14ac:dyDescent="0.25">
      <c r="A89" s="139" t="s">
        <v>165</v>
      </c>
      <c r="B89" s="135">
        <f>IF(ISERROR(VLOOKUP(B82,planillanomina,18,FALSE)),"",VLOOKUP(B82,planillanomina,18,FALSE))</f>
        <v>30000</v>
      </c>
      <c r="C89" s="142" t="s">
        <v>166</v>
      </c>
      <c r="D89" s="137">
        <f>IF(ISERROR(VLOOKUP(B82,planillanomina,24,FALSE)),"",VLOOKUP(B82,planillanomina,24,FALSE))</f>
        <v>15000</v>
      </c>
      <c r="E89" s="138" t="str">
        <f t="shared" si="4"/>
        <v/>
      </c>
    </row>
    <row r="90" spans="1:5" ht="13.5" thickBot="1" x14ac:dyDescent="0.25">
      <c r="A90" s="143"/>
      <c r="B90" s="135"/>
      <c r="C90" s="144"/>
      <c r="D90" s="137"/>
      <c r="E90" s="138" t="str">
        <f t="shared" si="4"/>
        <v/>
      </c>
    </row>
    <row r="91" spans="1:5" ht="15.75" thickBot="1" x14ac:dyDescent="0.25">
      <c r="A91" s="145" t="s">
        <v>167</v>
      </c>
      <c r="B91" s="135">
        <f>IF(ISERROR(VLOOKUP(B82,planillanomina,19,FALSE)),"",VLOOKUP(B82,planillanomina,19,FALSE))</f>
        <v>854000</v>
      </c>
      <c r="C91" s="146" t="s">
        <v>168</v>
      </c>
      <c r="D91" s="137">
        <f>IF(ISERROR(VLOOKUP(B82,planillanomina,25,FALSE)),"",VLOOKUP(B82,planillanomina,25,FALSE))</f>
        <v>162800</v>
      </c>
      <c r="E91" s="138" t="str">
        <f t="shared" si="4"/>
        <v/>
      </c>
    </row>
    <row r="92" spans="1:5" x14ac:dyDescent="0.2">
      <c r="A92" s="143"/>
      <c r="B92" s="147"/>
      <c r="C92" s="144"/>
      <c r="D92" s="144"/>
      <c r="E92" s="133"/>
    </row>
    <row r="93" spans="1:5" ht="13.5" thickBot="1" x14ac:dyDescent="0.25">
      <c r="A93" s="148"/>
      <c r="B93" s="149"/>
      <c r="C93" s="150"/>
      <c r="D93" s="150"/>
      <c r="E93" s="151"/>
    </row>
    <row r="94" spans="1:5" ht="18.75" thickBot="1" x14ac:dyDescent="0.3">
      <c r="B94" s="36"/>
      <c r="C94" s="37" t="s">
        <v>87</v>
      </c>
      <c r="D94" s="253">
        <f>IF(ISERROR(VLOOKUP(B82,planillanomina,26,FALSE)),"",VLOOKUP(B82,planillanomina,26,FALSE))</f>
        <v>691200</v>
      </c>
      <c r="E94" s="254" t="str">
        <f>IF(ISERROR(VLOOKUP(C85,planillanomina,25,FALSE)),"",VLOOKUP(C85,planillanomina,25,FALSE))</f>
        <v/>
      </c>
    </row>
    <row r="95" spans="1:5" ht="13.5" thickBot="1" x14ac:dyDescent="0.25"/>
    <row r="96" spans="1:5" x14ac:dyDescent="0.2">
      <c r="A96" s="255"/>
      <c r="B96" s="256"/>
      <c r="C96" s="256"/>
      <c r="D96" s="256"/>
      <c r="E96" s="257"/>
    </row>
    <row r="97" spans="1:5" ht="18" x14ac:dyDescent="0.25">
      <c r="A97" s="269" t="s">
        <v>153</v>
      </c>
      <c r="B97" s="270"/>
      <c r="C97" s="270"/>
      <c r="D97" s="270"/>
      <c r="E97" s="271"/>
    </row>
    <row r="98" spans="1:5" ht="18" x14ac:dyDescent="0.25">
      <c r="A98" s="272" t="s">
        <v>154</v>
      </c>
      <c r="B98" s="273"/>
      <c r="C98" s="273"/>
      <c r="D98" s="273"/>
      <c r="E98" s="274"/>
    </row>
    <row r="99" spans="1:5" ht="15" x14ac:dyDescent="0.2">
      <c r="A99" s="275" t="s">
        <v>174</v>
      </c>
      <c r="B99" s="276"/>
      <c r="C99" s="276"/>
      <c r="D99" s="276"/>
      <c r="E99" s="277"/>
    </row>
    <row r="100" spans="1:5" ht="13.5" thickBot="1" x14ac:dyDescent="0.25">
      <c r="A100" s="258"/>
      <c r="B100" s="259"/>
      <c r="C100" s="259"/>
      <c r="D100" s="259"/>
      <c r="E100" s="260"/>
    </row>
    <row r="101" spans="1:5" ht="15.75" thickBot="1" x14ac:dyDescent="0.25">
      <c r="A101" s="34" t="s">
        <v>155</v>
      </c>
      <c r="B101" s="261" t="s">
        <v>20</v>
      </c>
      <c r="C101" s="262"/>
      <c r="D101" s="262"/>
      <c r="E101" s="263"/>
    </row>
    <row r="102" spans="1:5" ht="15.75" thickBot="1" x14ac:dyDescent="0.25">
      <c r="A102" s="35" t="s">
        <v>156</v>
      </c>
      <c r="B102" s="266" t="str">
        <f>IF(ISBLANK(B101),"",IF(ISERROR(VLOOKUP(B101,planillanomina,2,FALSE)),"no existe",VLOOKUP(B101,planillanomina,2,FALSE)))</f>
        <v>Carlos Mario Quiroz</v>
      </c>
      <c r="C102" s="267"/>
      <c r="D102" s="267"/>
      <c r="E102" s="268"/>
    </row>
    <row r="103" spans="1:5" ht="15.75" thickBot="1" x14ac:dyDescent="0.25">
      <c r="A103" s="278"/>
      <c r="B103" s="279"/>
      <c r="C103" s="279"/>
      <c r="D103" s="279"/>
      <c r="E103" s="133"/>
    </row>
    <row r="104" spans="1:5" ht="15.75" thickBot="1" x14ac:dyDescent="0.25">
      <c r="A104" s="134" t="s">
        <v>157</v>
      </c>
      <c r="B104" s="135">
        <f>IF(ISERROR(VLOOKUP(B101,planillanomina,6,FALSE)),"",VLOOKUP(B101,planillanomina,6,FALSE))</f>
        <v>620000</v>
      </c>
      <c r="C104" s="136" t="s">
        <v>158</v>
      </c>
      <c r="D104" s="137">
        <f>IF(ISERROR(VLOOKUP(B101,planillanomina,20,FALSE)),"",VLOOKUP(B101,planillanomina,20,FALSE))</f>
        <v>28400</v>
      </c>
      <c r="E104" s="138" t="str">
        <f>IF(ISERROR(VLOOKUP(#REF!,planillanomina,19,FALSE)),"",VLOOKUP(#REF!,planillanomina,19,FALSE))</f>
        <v/>
      </c>
    </row>
    <row r="105" spans="1:5" ht="15.75" thickBot="1" x14ac:dyDescent="0.25">
      <c r="A105" s="139" t="s">
        <v>159</v>
      </c>
      <c r="B105" s="135">
        <f>IF(ISERROR(VLOOKUP(B101,planillanomina,15,FALSE)),"",VLOOKUP(B101,planillanomina,15,FALSE))</f>
        <v>0</v>
      </c>
      <c r="C105" s="140" t="s">
        <v>160</v>
      </c>
      <c r="D105" s="137">
        <f>IF(ISERROR(VLOOKUP(B101,planillanomina,21,FALSE)),"",VLOOKUP(B101,planillanomina,21,FALSE))</f>
        <v>28400</v>
      </c>
      <c r="E105" s="138" t="str">
        <f t="shared" ref="E105:E110" si="5">IF(ISERROR(VLOOKUP(E96,planillanomina,19,FALSE)),"",VLOOKUP(E96,planillanomina,19,FALSE))</f>
        <v/>
      </c>
    </row>
    <row r="106" spans="1:5" ht="15.75" thickBot="1" x14ac:dyDescent="0.25">
      <c r="A106" s="141" t="s">
        <v>161</v>
      </c>
      <c r="B106" s="135">
        <f>IF(ISERROR(VLOOKUP(B101,planillanomina,16,FALSE)),"",VLOOKUP(B101,planillanomina,16,FALSE))</f>
        <v>74000</v>
      </c>
      <c r="C106" s="140" t="s">
        <v>162</v>
      </c>
      <c r="D106" s="137">
        <f>IF(ISERROR(VLOOKUP(B101,planillanomina,22,FALSE)),"",VLOOKUP(B101,planillanomina,22,FALSE))</f>
        <v>0</v>
      </c>
      <c r="E106" s="138" t="str">
        <f t="shared" si="5"/>
        <v/>
      </c>
    </row>
    <row r="107" spans="1:5" ht="15.75" thickBot="1" x14ac:dyDescent="0.25">
      <c r="A107" s="139" t="s">
        <v>163</v>
      </c>
      <c r="B107" s="135">
        <f>IF(ISERROR(VLOOKUP(B101,planillanomina,17,FALSE)),"",VLOOKUP(B101,planillanomina,17,FALSE))</f>
        <v>44999.999999999993</v>
      </c>
      <c r="C107" s="140" t="s">
        <v>164</v>
      </c>
      <c r="D107" s="137">
        <f>IF(ISERROR(VLOOKUP(B101,planillanomina,23,FALSE)),"",VLOOKUP(B101,planillanomina,23,FALSE))</f>
        <v>39200</v>
      </c>
      <c r="E107" s="138" t="str">
        <f t="shared" si="5"/>
        <v/>
      </c>
    </row>
    <row r="108" spans="1:5" ht="15.75" thickBot="1" x14ac:dyDescent="0.25">
      <c r="A108" s="139" t="s">
        <v>165</v>
      </c>
      <c r="B108" s="135">
        <f>IF(ISERROR(VLOOKUP(B101,planillanomina,18,FALSE)),"",VLOOKUP(B101,planillanomina,18,FALSE))</f>
        <v>44999.999999999993</v>
      </c>
      <c r="C108" s="142" t="s">
        <v>166</v>
      </c>
      <c r="D108" s="137">
        <f>IF(ISERROR(VLOOKUP(B101,planillanomina,24,FALSE)),"",VLOOKUP(B101,planillanomina,24,FALSE))</f>
        <v>3100</v>
      </c>
      <c r="E108" s="138" t="str">
        <f t="shared" si="5"/>
        <v/>
      </c>
    </row>
    <row r="109" spans="1:5" ht="13.5" thickBot="1" x14ac:dyDescent="0.25">
      <c r="A109" s="143"/>
      <c r="B109" s="135"/>
      <c r="C109" s="144"/>
      <c r="D109" s="137"/>
      <c r="E109" s="138" t="str">
        <f t="shared" si="5"/>
        <v/>
      </c>
    </row>
    <row r="110" spans="1:5" ht="15.75" thickBot="1" x14ac:dyDescent="0.25">
      <c r="A110" s="145" t="s">
        <v>167</v>
      </c>
      <c r="B110" s="135">
        <f>IF(ISERROR(VLOOKUP(B101,planillanomina,19,FALSE)),"",VLOOKUP(B101,planillanomina,19,FALSE))</f>
        <v>784000</v>
      </c>
      <c r="C110" s="146" t="s">
        <v>168</v>
      </c>
      <c r="D110" s="137">
        <f>IF(ISERROR(VLOOKUP(B101,planillanomina,25,FALSE)),"",VLOOKUP(B101,planillanomina,25,FALSE))</f>
        <v>99100</v>
      </c>
      <c r="E110" s="138" t="str">
        <f t="shared" si="5"/>
        <v/>
      </c>
    </row>
    <row r="111" spans="1:5" x14ac:dyDescent="0.2">
      <c r="A111" s="143"/>
      <c r="B111" s="147"/>
      <c r="C111" s="144"/>
      <c r="D111" s="144"/>
      <c r="E111" s="133"/>
    </row>
    <row r="112" spans="1:5" ht="13.5" thickBot="1" x14ac:dyDescent="0.25">
      <c r="A112" s="148"/>
      <c r="B112" s="149"/>
      <c r="C112" s="150"/>
      <c r="D112" s="150"/>
      <c r="E112" s="151"/>
    </row>
    <row r="113" spans="1:5" ht="18.75" thickBot="1" x14ac:dyDescent="0.3">
      <c r="B113" s="36"/>
      <c r="C113" s="37" t="s">
        <v>87</v>
      </c>
      <c r="D113" s="253">
        <f>IF(ISERROR(VLOOKUP(B101,planillanomina,26,FALSE)),"",VLOOKUP(B101,planillanomina,26,FALSE))</f>
        <v>684900</v>
      </c>
      <c r="E113" s="254" t="str">
        <f>IF(ISERROR(VLOOKUP(C104,planillanomina,25,FALSE)),"",VLOOKUP(C104,planillanomina,25,FALSE))</f>
        <v/>
      </c>
    </row>
    <row r="114" spans="1:5" ht="13.5" thickBot="1" x14ac:dyDescent="0.25"/>
    <row r="115" spans="1:5" x14ac:dyDescent="0.2">
      <c r="A115" s="255"/>
      <c r="B115" s="256"/>
      <c r="C115" s="256"/>
      <c r="D115" s="256"/>
      <c r="E115" s="257"/>
    </row>
    <row r="116" spans="1:5" ht="18" x14ac:dyDescent="0.25">
      <c r="A116" s="269" t="s">
        <v>153</v>
      </c>
      <c r="B116" s="270"/>
      <c r="C116" s="270"/>
      <c r="D116" s="270"/>
      <c r="E116" s="271"/>
    </row>
    <row r="117" spans="1:5" ht="18" x14ac:dyDescent="0.25">
      <c r="A117" s="272" t="s">
        <v>154</v>
      </c>
      <c r="B117" s="273"/>
      <c r="C117" s="273"/>
      <c r="D117" s="273"/>
      <c r="E117" s="274"/>
    </row>
    <row r="118" spans="1:5" ht="15" x14ac:dyDescent="0.2">
      <c r="A118" s="275" t="s">
        <v>174</v>
      </c>
      <c r="B118" s="276"/>
      <c r="C118" s="276"/>
      <c r="D118" s="276"/>
      <c r="E118" s="277"/>
    </row>
    <row r="119" spans="1:5" ht="13.5" thickBot="1" x14ac:dyDescent="0.25">
      <c r="A119" s="258"/>
      <c r="B119" s="259"/>
      <c r="C119" s="259"/>
      <c r="D119" s="259"/>
      <c r="E119" s="260"/>
    </row>
    <row r="120" spans="1:5" ht="15.75" thickBot="1" x14ac:dyDescent="0.25">
      <c r="A120" s="34" t="s">
        <v>155</v>
      </c>
      <c r="B120" s="261" t="s">
        <v>22</v>
      </c>
      <c r="C120" s="262"/>
      <c r="D120" s="262"/>
      <c r="E120" s="263"/>
    </row>
    <row r="121" spans="1:5" ht="15.75" thickBot="1" x14ac:dyDescent="0.25">
      <c r="A121" s="35" t="s">
        <v>156</v>
      </c>
      <c r="B121" s="266" t="str">
        <f>IF(ISBLANK(B120),"",IF(ISERROR(VLOOKUP(B120,planillanomina,2,FALSE)),"no existe",VLOOKUP(B120,planillanomina,2,FALSE)))</f>
        <v>Carolina Rodríguez</v>
      </c>
      <c r="C121" s="267"/>
      <c r="D121" s="267"/>
      <c r="E121" s="268"/>
    </row>
    <row r="122" spans="1:5" ht="15.75" thickBot="1" x14ac:dyDescent="0.25">
      <c r="A122" s="278"/>
      <c r="B122" s="279"/>
      <c r="C122" s="279"/>
      <c r="D122" s="279"/>
      <c r="E122" s="133"/>
    </row>
    <row r="123" spans="1:5" ht="15.75" thickBot="1" x14ac:dyDescent="0.25">
      <c r="A123" s="134" t="s">
        <v>157</v>
      </c>
      <c r="B123" s="135">
        <f>IF(ISERROR(VLOOKUP(B120,planillanomina,6,FALSE)),"",VLOOKUP(B120,planillanomina,6,FALSE))</f>
        <v>644350</v>
      </c>
      <c r="C123" s="136" t="s">
        <v>158</v>
      </c>
      <c r="D123" s="137">
        <f>IF(ISERROR(VLOOKUP(B120,planillanomina,20,FALSE)),"",VLOOKUP(B120,planillanomina,20,FALSE))</f>
        <v>27574</v>
      </c>
      <c r="E123" s="138" t="str">
        <f>IF(ISERROR(VLOOKUP(#REF!,planillanomina,19,FALSE)),"",VLOOKUP(#REF!,planillanomina,19,FALSE))</f>
        <v/>
      </c>
    </row>
    <row r="124" spans="1:5" ht="15.75" thickBot="1" x14ac:dyDescent="0.25">
      <c r="A124" s="139" t="s">
        <v>159</v>
      </c>
      <c r="B124" s="135">
        <f>IF(ISERROR(VLOOKUP(B120,planillanomina,15,FALSE)),"",VLOOKUP(B120,planillanomina,15,FALSE))</f>
        <v>0</v>
      </c>
      <c r="C124" s="140" t="s">
        <v>160</v>
      </c>
      <c r="D124" s="137">
        <f>IF(ISERROR(VLOOKUP(B120,planillanomina,21,FALSE)),"",VLOOKUP(B120,planillanomina,21,FALSE))</f>
        <v>27574</v>
      </c>
      <c r="E124" s="138" t="str">
        <f t="shared" ref="E124:E129" si="6">IF(ISERROR(VLOOKUP(E115,planillanomina,19,FALSE)),"",VLOOKUP(E115,planillanomina,19,FALSE))</f>
        <v/>
      </c>
    </row>
    <row r="125" spans="1:5" ht="15.75" thickBot="1" x14ac:dyDescent="0.25">
      <c r="A125" s="141" t="s">
        <v>161</v>
      </c>
      <c r="B125" s="135">
        <f>IF(ISERROR(VLOOKUP(B120,planillanomina,16,FALSE)),"",VLOOKUP(B120,planillanomina,16,FALSE))</f>
        <v>74000</v>
      </c>
      <c r="C125" s="140" t="s">
        <v>162</v>
      </c>
      <c r="D125" s="137">
        <f>IF(ISERROR(VLOOKUP(B120,planillanomina,22,FALSE)),"",VLOOKUP(B120,planillanomina,22,FALSE))</f>
        <v>0</v>
      </c>
      <c r="E125" s="138" t="str">
        <f t="shared" si="6"/>
        <v/>
      </c>
    </row>
    <row r="126" spans="1:5" ht="15.75" thickBot="1" x14ac:dyDescent="0.25">
      <c r="A126" s="139" t="s">
        <v>163</v>
      </c>
      <c r="B126" s="135">
        <f>IF(ISERROR(VLOOKUP(B120,planillanomina,17,FALSE)),"",VLOOKUP(B120,planillanomina,17,FALSE))</f>
        <v>0</v>
      </c>
      <c r="C126" s="140" t="s">
        <v>164</v>
      </c>
      <c r="D126" s="137">
        <f>IF(ISERROR(VLOOKUP(B120,planillanomina,23,FALSE)),"",VLOOKUP(B120,planillanomina,23,FALSE))</f>
        <v>38167.5</v>
      </c>
      <c r="E126" s="138" t="str">
        <f t="shared" si="6"/>
        <v/>
      </c>
    </row>
    <row r="127" spans="1:5" ht="15.75" thickBot="1" x14ac:dyDescent="0.25">
      <c r="A127" s="139" t="s">
        <v>165</v>
      </c>
      <c r="B127" s="135">
        <f>IF(ISERROR(VLOOKUP(B120,planillanomina,18,FALSE)),"",VLOOKUP(B120,planillanomina,18,FALSE))</f>
        <v>44999.999999999993</v>
      </c>
      <c r="C127" s="142" t="s">
        <v>166</v>
      </c>
      <c r="D127" s="137">
        <f>IF(ISERROR(VLOOKUP(B120,planillanomina,24,FALSE)),"",VLOOKUP(B120,planillanomina,24,FALSE))</f>
        <v>3221.75</v>
      </c>
      <c r="E127" s="138" t="str">
        <f t="shared" si="6"/>
        <v/>
      </c>
    </row>
    <row r="128" spans="1:5" ht="13.5" thickBot="1" x14ac:dyDescent="0.25">
      <c r="A128" s="143"/>
      <c r="B128" s="135"/>
      <c r="C128" s="144"/>
      <c r="D128" s="137"/>
      <c r="E128" s="138" t="str">
        <f t="shared" si="6"/>
        <v/>
      </c>
    </row>
    <row r="129" spans="1:5" ht="15.75" thickBot="1" x14ac:dyDescent="0.25">
      <c r="A129" s="145" t="s">
        <v>167</v>
      </c>
      <c r="B129" s="135">
        <f>IF(ISERROR(VLOOKUP(B120,planillanomina,19,FALSE)),"",VLOOKUP(B120,planillanomina,19,FALSE))</f>
        <v>763350</v>
      </c>
      <c r="C129" s="146" t="s">
        <v>168</v>
      </c>
      <c r="D129" s="137">
        <f>IF(ISERROR(VLOOKUP(B120,planillanomina,25,FALSE)),"",VLOOKUP(B120,planillanomina,25,FALSE))</f>
        <v>96537.25</v>
      </c>
      <c r="E129" s="138" t="str">
        <f t="shared" si="6"/>
        <v/>
      </c>
    </row>
    <row r="130" spans="1:5" x14ac:dyDescent="0.2">
      <c r="A130" s="143"/>
      <c r="B130" s="147"/>
      <c r="C130" s="144"/>
      <c r="D130" s="144"/>
      <c r="E130" s="133"/>
    </row>
    <row r="131" spans="1:5" ht="13.5" thickBot="1" x14ac:dyDescent="0.25">
      <c r="A131" s="148"/>
      <c r="B131" s="149"/>
      <c r="C131" s="150"/>
      <c r="D131" s="150"/>
      <c r="E131" s="151"/>
    </row>
    <row r="132" spans="1:5" ht="18.75" thickBot="1" x14ac:dyDescent="0.3">
      <c r="B132" s="36"/>
      <c r="C132" s="37" t="s">
        <v>87</v>
      </c>
      <c r="D132" s="253">
        <f>IF(ISERROR(VLOOKUP(B120,planillanomina,26,FALSE)),"",VLOOKUP(B120,planillanomina,26,FALSE))</f>
        <v>666812.75</v>
      </c>
      <c r="E132" s="254" t="str">
        <f>IF(ISERROR(VLOOKUP(C123,planillanomina,25,FALSE)),"",VLOOKUP(C123,planillanomina,25,FALSE))</f>
        <v/>
      </c>
    </row>
    <row r="133" spans="1:5" ht="13.5" thickBot="1" x14ac:dyDescent="0.25"/>
    <row r="134" spans="1:5" x14ac:dyDescent="0.2">
      <c r="A134" s="255"/>
      <c r="B134" s="256"/>
      <c r="C134" s="256"/>
      <c r="D134" s="256"/>
      <c r="E134" s="257"/>
    </row>
    <row r="135" spans="1:5" ht="18" x14ac:dyDescent="0.25">
      <c r="A135" s="269" t="s">
        <v>153</v>
      </c>
      <c r="B135" s="270"/>
      <c r="C135" s="270"/>
      <c r="D135" s="270"/>
      <c r="E135" s="271"/>
    </row>
    <row r="136" spans="1:5" ht="18" x14ac:dyDescent="0.25">
      <c r="A136" s="272" t="s">
        <v>154</v>
      </c>
      <c r="B136" s="273"/>
      <c r="C136" s="273"/>
      <c r="D136" s="273"/>
      <c r="E136" s="274"/>
    </row>
    <row r="137" spans="1:5" ht="15" x14ac:dyDescent="0.2">
      <c r="A137" s="275" t="s">
        <v>174</v>
      </c>
      <c r="B137" s="276"/>
      <c r="C137" s="276"/>
      <c r="D137" s="276"/>
      <c r="E137" s="277"/>
    </row>
    <row r="138" spans="1:5" ht="13.5" thickBot="1" x14ac:dyDescent="0.25">
      <c r="A138" s="258"/>
      <c r="B138" s="259"/>
      <c r="C138" s="259"/>
      <c r="D138" s="259"/>
      <c r="E138" s="260"/>
    </row>
    <row r="139" spans="1:5" ht="15.75" thickBot="1" x14ac:dyDescent="0.25">
      <c r="A139" s="34" t="s">
        <v>155</v>
      </c>
      <c r="B139" s="261" t="s">
        <v>25</v>
      </c>
      <c r="C139" s="262"/>
      <c r="D139" s="262"/>
      <c r="E139" s="263"/>
    </row>
    <row r="140" spans="1:5" ht="15.75" thickBot="1" x14ac:dyDescent="0.25">
      <c r="A140" s="35" t="s">
        <v>156</v>
      </c>
      <c r="B140" s="266" t="str">
        <f>IF(ISBLANK(B139),"",IF(ISERROR(VLOOKUP(B139,planillanomina,2,FALSE)),"no existe",VLOOKUP(B139,planillanomina,2,FALSE)))</f>
        <v>Claudia González</v>
      </c>
      <c r="C140" s="267"/>
      <c r="D140" s="267"/>
      <c r="E140" s="268"/>
    </row>
    <row r="141" spans="1:5" ht="15.75" thickBot="1" x14ac:dyDescent="0.25">
      <c r="A141" s="278"/>
      <c r="B141" s="279"/>
      <c r="C141" s="279"/>
      <c r="D141" s="279"/>
      <c r="E141" s="133"/>
    </row>
    <row r="142" spans="1:5" ht="15.75" thickBot="1" x14ac:dyDescent="0.25">
      <c r="A142" s="134" t="s">
        <v>157</v>
      </c>
      <c r="B142" s="135">
        <f>IF(ISERROR(VLOOKUP(B139,planillanomina,6,FALSE)),"",VLOOKUP(B139,planillanomina,6,FALSE))</f>
        <v>516666.66666666669</v>
      </c>
      <c r="C142" s="136" t="s">
        <v>158</v>
      </c>
      <c r="D142" s="137">
        <f>IF(ISERROR(VLOOKUP(B139,planillanomina,20,FALSE)),"",VLOOKUP(B139,planillanomina,20,FALSE))</f>
        <v>24266.666666666672</v>
      </c>
      <c r="E142" s="138" t="str">
        <f>IF(ISERROR(VLOOKUP(#REF!,planillanomina,19,FALSE)),"",VLOOKUP(#REF!,planillanomina,19,FALSE))</f>
        <v/>
      </c>
    </row>
    <row r="143" spans="1:5" ht="15.75" thickBot="1" x14ac:dyDescent="0.25">
      <c r="A143" s="139" t="s">
        <v>159</v>
      </c>
      <c r="B143" s="135">
        <f>IF(ISERROR(VLOOKUP(B139,planillanomina,15,FALSE)),"",VLOOKUP(B139,planillanomina,15,FALSE))</f>
        <v>0</v>
      </c>
      <c r="C143" s="140" t="s">
        <v>160</v>
      </c>
      <c r="D143" s="137">
        <f>IF(ISERROR(VLOOKUP(B139,planillanomina,21,FALSE)),"",VLOOKUP(B139,planillanomina,21,FALSE))</f>
        <v>24266.666666666672</v>
      </c>
      <c r="E143" s="138" t="str">
        <f t="shared" ref="E143:E148" si="7">IF(ISERROR(VLOOKUP(E134,planillanomina,19,FALSE)),"",VLOOKUP(E134,planillanomina,19,FALSE))</f>
        <v/>
      </c>
    </row>
    <row r="144" spans="1:5" ht="15.75" thickBot="1" x14ac:dyDescent="0.25">
      <c r="A144" s="141" t="s">
        <v>161</v>
      </c>
      <c r="B144" s="135">
        <f>IF(ISERROR(VLOOKUP(B139,planillanomina,16,FALSE)),"",VLOOKUP(B139,planillanomina,16,FALSE))</f>
        <v>61670</v>
      </c>
      <c r="C144" s="140" t="s">
        <v>162</v>
      </c>
      <c r="D144" s="137">
        <f>IF(ISERROR(VLOOKUP(B139,planillanomina,22,FALSE)),"",VLOOKUP(B139,planillanomina,22,FALSE))</f>
        <v>0</v>
      </c>
      <c r="E144" s="138" t="str">
        <f t="shared" si="7"/>
        <v/>
      </c>
    </row>
    <row r="145" spans="1:5" ht="15.75" thickBot="1" x14ac:dyDescent="0.25">
      <c r="A145" s="139" t="s">
        <v>163</v>
      </c>
      <c r="B145" s="135">
        <f>IF(ISERROR(VLOOKUP(B139,planillanomina,17,FALSE)),"",VLOOKUP(B139,planillanomina,17,FALSE))</f>
        <v>44999.999999999993</v>
      </c>
      <c r="C145" s="140" t="s">
        <v>164</v>
      </c>
      <c r="D145" s="137">
        <f>IF(ISERROR(VLOOKUP(B139,planillanomina,23,FALSE)),"",VLOOKUP(B139,planillanomina,23,FALSE))</f>
        <v>33416.833333333336</v>
      </c>
      <c r="E145" s="138" t="str">
        <f t="shared" si="7"/>
        <v/>
      </c>
    </row>
    <row r="146" spans="1:5" ht="15.75" thickBot="1" x14ac:dyDescent="0.25">
      <c r="A146" s="139" t="s">
        <v>165</v>
      </c>
      <c r="B146" s="135">
        <f>IF(ISERROR(VLOOKUP(B139,planillanomina,18,FALSE)),"",VLOOKUP(B139,planillanomina,18,FALSE))</f>
        <v>44999.999999999993</v>
      </c>
      <c r="C146" s="142" t="s">
        <v>166</v>
      </c>
      <c r="D146" s="137">
        <f>IF(ISERROR(VLOOKUP(B139,planillanomina,24,FALSE)),"",VLOOKUP(B139,planillanomina,24,FALSE))</f>
        <v>2583.3333333333335</v>
      </c>
      <c r="E146" s="138" t="str">
        <f t="shared" si="7"/>
        <v/>
      </c>
    </row>
    <row r="147" spans="1:5" ht="13.5" thickBot="1" x14ac:dyDescent="0.25">
      <c r="A147" s="143"/>
      <c r="B147" s="135"/>
      <c r="C147" s="144"/>
      <c r="D147" s="137"/>
      <c r="E147" s="138" t="str">
        <f t="shared" si="7"/>
        <v/>
      </c>
    </row>
    <row r="148" spans="1:5" ht="15.75" thickBot="1" x14ac:dyDescent="0.25">
      <c r="A148" s="145" t="s">
        <v>167</v>
      </c>
      <c r="B148" s="135">
        <f>IF(ISERROR(VLOOKUP(B139,planillanomina,19,FALSE)),"",VLOOKUP(B139,planillanomina,19,FALSE))</f>
        <v>668336.66666666674</v>
      </c>
      <c r="C148" s="146" t="s">
        <v>168</v>
      </c>
      <c r="D148" s="137">
        <f>IF(ISERROR(VLOOKUP(B139,planillanomina,25,FALSE)),"",VLOOKUP(B139,planillanomina,25,FALSE))</f>
        <v>84533.500000000015</v>
      </c>
      <c r="E148" s="138" t="str">
        <f t="shared" si="7"/>
        <v/>
      </c>
    </row>
    <row r="149" spans="1:5" x14ac:dyDescent="0.2">
      <c r="A149" s="143"/>
      <c r="B149" s="147"/>
      <c r="C149" s="144"/>
      <c r="D149" s="144"/>
      <c r="E149" s="133"/>
    </row>
    <row r="150" spans="1:5" ht="13.5" thickBot="1" x14ac:dyDescent="0.25">
      <c r="A150" s="148"/>
      <c r="B150" s="149"/>
      <c r="C150" s="150"/>
      <c r="D150" s="150"/>
      <c r="E150" s="151"/>
    </row>
    <row r="151" spans="1:5" ht="18.75" thickBot="1" x14ac:dyDescent="0.3">
      <c r="B151" s="36"/>
      <c r="C151" s="37" t="s">
        <v>87</v>
      </c>
      <c r="D151" s="253">
        <f>IF(ISERROR(VLOOKUP(B139,planillanomina,26,FALSE)),"",VLOOKUP(B139,planillanomina,26,FALSE))</f>
        <v>583803.16666666674</v>
      </c>
      <c r="E151" s="254" t="str">
        <f>IF(ISERROR(VLOOKUP(C142,planillanomina,25,FALSE)),"",VLOOKUP(C142,planillanomina,25,FALSE))</f>
        <v/>
      </c>
    </row>
    <row r="152" spans="1:5" ht="13.5" thickBot="1" x14ac:dyDescent="0.25"/>
    <row r="153" spans="1:5" x14ac:dyDescent="0.2">
      <c r="A153" s="255"/>
      <c r="B153" s="256"/>
      <c r="C153" s="256"/>
      <c r="D153" s="256"/>
      <c r="E153" s="257"/>
    </row>
    <row r="154" spans="1:5" ht="18" x14ac:dyDescent="0.25">
      <c r="A154" s="269" t="s">
        <v>153</v>
      </c>
      <c r="B154" s="270"/>
      <c r="C154" s="270"/>
      <c r="D154" s="270"/>
      <c r="E154" s="271"/>
    </row>
    <row r="155" spans="1:5" ht="18" x14ac:dyDescent="0.25">
      <c r="A155" s="272" t="s">
        <v>154</v>
      </c>
      <c r="B155" s="273"/>
      <c r="C155" s="273"/>
      <c r="D155" s="273"/>
      <c r="E155" s="274"/>
    </row>
    <row r="156" spans="1:5" ht="15" x14ac:dyDescent="0.2">
      <c r="A156" s="275" t="s">
        <v>174</v>
      </c>
      <c r="B156" s="276"/>
      <c r="C156" s="276"/>
      <c r="D156" s="276"/>
      <c r="E156" s="277"/>
    </row>
    <row r="157" spans="1:5" ht="13.5" thickBot="1" x14ac:dyDescent="0.25">
      <c r="A157" s="258"/>
      <c r="B157" s="259"/>
      <c r="C157" s="259"/>
      <c r="D157" s="259"/>
      <c r="E157" s="260"/>
    </row>
    <row r="158" spans="1:5" ht="15.75" thickBot="1" x14ac:dyDescent="0.25">
      <c r="A158" s="34" t="s">
        <v>155</v>
      </c>
      <c r="B158" s="261" t="s">
        <v>27</v>
      </c>
      <c r="C158" s="262"/>
      <c r="D158" s="262"/>
      <c r="E158" s="263"/>
    </row>
    <row r="159" spans="1:5" ht="15.75" thickBot="1" x14ac:dyDescent="0.25">
      <c r="A159" s="35" t="s">
        <v>156</v>
      </c>
      <c r="B159" s="266" t="str">
        <f>IF(ISBLANK(B158),"",IF(ISERROR(VLOOKUP(B158,planillanomina,2,FALSE)),"no existe",VLOOKUP(B158,planillanomina,2,FALSE)))</f>
        <v>Diana López</v>
      </c>
      <c r="C159" s="267"/>
      <c r="D159" s="267"/>
      <c r="E159" s="268"/>
    </row>
    <row r="160" spans="1:5" ht="15.75" thickBot="1" x14ac:dyDescent="0.25">
      <c r="A160" s="278"/>
      <c r="B160" s="279"/>
      <c r="C160" s="279"/>
      <c r="D160" s="279"/>
      <c r="E160" s="133"/>
    </row>
    <row r="161" spans="1:5" ht="15.75" thickBot="1" x14ac:dyDescent="0.25">
      <c r="A161" s="134" t="s">
        <v>157</v>
      </c>
      <c r="B161" s="135">
        <f>IF(ISERROR(VLOOKUP(B158,planillanomina,6,FALSE)),"",VLOOKUP(B158,planillanomina,6,FALSE))</f>
        <v>750000</v>
      </c>
      <c r="C161" s="136" t="s">
        <v>158</v>
      </c>
      <c r="D161" s="137">
        <f>IF(ISERROR(VLOOKUP(B158,planillanomina,20,FALSE)),"",VLOOKUP(B158,planillanomina,20,FALSE))</f>
        <v>31200</v>
      </c>
      <c r="E161" s="138" t="str">
        <f>IF(ISERROR(VLOOKUP(#REF!,planillanomina,19,FALSE)),"",VLOOKUP(#REF!,planillanomina,19,FALSE))</f>
        <v/>
      </c>
    </row>
    <row r="162" spans="1:5" ht="15.75" thickBot="1" x14ac:dyDescent="0.25">
      <c r="A162" s="139" t="s">
        <v>159</v>
      </c>
      <c r="B162" s="135">
        <f>IF(ISERROR(VLOOKUP(B158,planillanomina,15,FALSE)),"",VLOOKUP(B158,planillanomina,15,FALSE))</f>
        <v>0</v>
      </c>
      <c r="C162" s="140" t="s">
        <v>160</v>
      </c>
      <c r="D162" s="137">
        <f>IF(ISERROR(VLOOKUP(B158,planillanomina,21,FALSE)),"",VLOOKUP(B158,planillanomina,21,FALSE))</f>
        <v>31200</v>
      </c>
      <c r="E162" s="138" t="str">
        <f t="shared" ref="E162:E167" si="8">IF(ISERROR(VLOOKUP(E153,planillanomina,19,FALSE)),"",VLOOKUP(E153,planillanomina,19,FALSE))</f>
        <v/>
      </c>
    </row>
    <row r="163" spans="1:5" ht="15.75" thickBot="1" x14ac:dyDescent="0.25">
      <c r="A163" s="141" t="s">
        <v>161</v>
      </c>
      <c r="B163" s="135">
        <f>IF(ISERROR(VLOOKUP(B158,planillanomina,16,FALSE)),"",VLOOKUP(B158,planillanomina,16,FALSE))</f>
        <v>74000</v>
      </c>
      <c r="C163" s="140" t="s">
        <v>162</v>
      </c>
      <c r="D163" s="137">
        <f>IF(ISERROR(VLOOKUP(B158,planillanomina,22,FALSE)),"",VLOOKUP(B158,planillanomina,22,FALSE))</f>
        <v>0</v>
      </c>
      <c r="E163" s="138" t="str">
        <f t="shared" si="8"/>
        <v/>
      </c>
    </row>
    <row r="164" spans="1:5" ht="15.75" thickBot="1" x14ac:dyDescent="0.25">
      <c r="A164" s="139" t="s">
        <v>163</v>
      </c>
      <c r="B164" s="135">
        <f>IF(ISERROR(VLOOKUP(B158,planillanomina,17,FALSE)),"",VLOOKUP(B158,planillanomina,17,FALSE))</f>
        <v>0</v>
      </c>
      <c r="C164" s="140" t="s">
        <v>164</v>
      </c>
      <c r="D164" s="137">
        <f>IF(ISERROR(VLOOKUP(B158,planillanomina,23,FALSE)),"",VLOOKUP(B158,planillanomina,23,FALSE))</f>
        <v>85400</v>
      </c>
      <c r="E164" s="138" t="str">
        <f t="shared" si="8"/>
        <v/>
      </c>
    </row>
    <row r="165" spans="1:5" ht="15.75" thickBot="1" x14ac:dyDescent="0.25">
      <c r="A165" s="139" t="s">
        <v>165</v>
      </c>
      <c r="B165" s="135">
        <f>IF(ISERROR(VLOOKUP(B158,planillanomina,18,FALSE)),"",VLOOKUP(B158,planillanomina,18,FALSE))</f>
        <v>30000</v>
      </c>
      <c r="C165" s="142" t="s">
        <v>166</v>
      </c>
      <c r="D165" s="137">
        <f>IF(ISERROR(VLOOKUP(B158,planillanomina,24,FALSE)),"",VLOOKUP(B158,planillanomina,24,FALSE))</f>
        <v>15000</v>
      </c>
      <c r="E165" s="138" t="str">
        <f t="shared" si="8"/>
        <v/>
      </c>
    </row>
    <row r="166" spans="1:5" ht="13.5" thickBot="1" x14ac:dyDescent="0.25">
      <c r="A166" s="143"/>
      <c r="B166" s="135"/>
      <c r="C166" s="144"/>
      <c r="D166" s="137"/>
      <c r="E166" s="138" t="str">
        <f t="shared" si="8"/>
        <v/>
      </c>
    </row>
    <row r="167" spans="1:5" ht="15.75" thickBot="1" x14ac:dyDescent="0.25">
      <c r="A167" s="145" t="s">
        <v>167</v>
      </c>
      <c r="B167" s="135">
        <f>IF(ISERROR(VLOOKUP(B158,planillanomina,19,FALSE)),"",VLOOKUP(B158,planillanomina,19,FALSE))</f>
        <v>854000</v>
      </c>
      <c r="C167" s="146" t="s">
        <v>168</v>
      </c>
      <c r="D167" s="137">
        <f>IF(ISERROR(VLOOKUP(B158,planillanomina,25,FALSE)),"",VLOOKUP(B158,planillanomina,25,FALSE))</f>
        <v>162800</v>
      </c>
      <c r="E167" s="138" t="str">
        <f t="shared" si="8"/>
        <v/>
      </c>
    </row>
    <row r="168" spans="1:5" x14ac:dyDescent="0.2">
      <c r="A168" s="143"/>
      <c r="B168" s="147"/>
      <c r="C168" s="144"/>
      <c r="D168" s="144"/>
      <c r="E168" s="133"/>
    </row>
    <row r="169" spans="1:5" ht="13.5" thickBot="1" x14ac:dyDescent="0.25">
      <c r="A169" s="148"/>
      <c r="B169" s="149"/>
      <c r="C169" s="150"/>
      <c r="D169" s="150"/>
      <c r="E169" s="151"/>
    </row>
    <row r="170" spans="1:5" ht="18.75" thickBot="1" x14ac:dyDescent="0.3">
      <c r="B170" s="36"/>
      <c r="C170" s="37" t="s">
        <v>87</v>
      </c>
      <c r="D170" s="253">
        <f>IF(ISERROR(VLOOKUP(B158,planillanomina,26,FALSE)),"",VLOOKUP(B158,planillanomina,26,FALSE))</f>
        <v>691200</v>
      </c>
      <c r="E170" s="254" t="str">
        <f>IF(ISERROR(VLOOKUP(C161,planillanomina,25,FALSE)),"",VLOOKUP(C161,planillanomina,25,FALSE))</f>
        <v/>
      </c>
    </row>
    <row r="171" spans="1:5" ht="13.5" thickBot="1" x14ac:dyDescent="0.25"/>
    <row r="172" spans="1:5" x14ac:dyDescent="0.2">
      <c r="A172" s="255"/>
      <c r="B172" s="256"/>
      <c r="C172" s="256"/>
      <c r="D172" s="256"/>
      <c r="E172" s="257"/>
    </row>
    <row r="173" spans="1:5" ht="18" x14ac:dyDescent="0.25">
      <c r="A173" s="269" t="s">
        <v>153</v>
      </c>
      <c r="B173" s="270"/>
      <c r="C173" s="270"/>
      <c r="D173" s="270"/>
      <c r="E173" s="271"/>
    </row>
    <row r="174" spans="1:5" ht="18" x14ac:dyDescent="0.25">
      <c r="A174" s="272" t="s">
        <v>154</v>
      </c>
      <c r="B174" s="273"/>
      <c r="C174" s="273"/>
      <c r="D174" s="273"/>
      <c r="E174" s="274"/>
    </row>
    <row r="175" spans="1:5" ht="15" x14ac:dyDescent="0.2">
      <c r="A175" s="275" t="s">
        <v>174</v>
      </c>
      <c r="B175" s="276"/>
      <c r="C175" s="276"/>
      <c r="D175" s="276"/>
      <c r="E175" s="277"/>
    </row>
    <row r="176" spans="1:5" ht="13.5" thickBot="1" x14ac:dyDescent="0.25">
      <c r="A176" s="258"/>
      <c r="B176" s="259"/>
      <c r="C176" s="259"/>
      <c r="D176" s="259"/>
      <c r="E176" s="260"/>
    </row>
    <row r="177" spans="1:5" ht="15.75" thickBot="1" x14ac:dyDescent="0.25">
      <c r="A177" s="34" t="s">
        <v>155</v>
      </c>
      <c r="B177" s="261" t="s">
        <v>29</v>
      </c>
      <c r="C177" s="262"/>
      <c r="D177" s="262"/>
      <c r="E177" s="263"/>
    </row>
    <row r="178" spans="1:5" ht="15.75" thickBot="1" x14ac:dyDescent="0.25">
      <c r="A178" s="35" t="s">
        <v>156</v>
      </c>
      <c r="B178" s="266" t="str">
        <f>IF(ISBLANK(B177),"",IF(ISERROR(VLOOKUP(B177,planillanomina,2,FALSE)),"no existe",VLOOKUP(B177,planillanomina,2,FALSE)))</f>
        <v>Didier Alejandro Sánchez</v>
      </c>
      <c r="C178" s="267"/>
      <c r="D178" s="267"/>
      <c r="E178" s="268"/>
    </row>
    <row r="179" spans="1:5" ht="15.75" thickBot="1" x14ac:dyDescent="0.25">
      <c r="A179" s="278"/>
      <c r="B179" s="279"/>
      <c r="C179" s="279"/>
      <c r="D179" s="279"/>
      <c r="E179" s="133"/>
    </row>
    <row r="180" spans="1:5" ht="15.75" thickBot="1" x14ac:dyDescent="0.25">
      <c r="A180" s="134" t="s">
        <v>157</v>
      </c>
      <c r="B180" s="135">
        <f>IF(ISERROR(VLOOKUP(B177,planillanomina,6,FALSE)),"",VLOOKUP(B177,planillanomina,6,FALSE))</f>
        <v>700000</v>
      </c>
      <c r="C180" s="136" t="s">
        <v>158</v>
      </c>
      <c r="D180" s="137">
        <f>IF(ISERROR(VLOOKUP(B177,planillanomina,20,FALSE)),"",VLOOKUP(B177,planillanomina,20,FALSE))</f>
        <v>29200</v>
      </c>
      <c r="E180" s="138" t="str">
        <f>IF(ISERROR(VLOOKUP(#REF!,planillanomina,19,FALSE)),"",VLOOKUP(#REF!,planillanomina,19,FALSE))</f>
        <v/>
      </c>
    </row>
    <row r="181" spans="1:5" ht="15.75" thickBot="1" x14ac:dyDescent="0.25">
      <c r="A181" s="139" t="s">
        <v>159</v>
      </c>
      <c r="B181" s="135">
        <f>IF(ISERROR(VLOOKUP(B177,planillanomina,15,FALSE)),"",VLOOKUP(B177,planillanomina,15,FALSE))</f>
        <v>0</v>
      </c>
      <c r="C181" s="140" t="s">
        <v>160</v>
      </c>
      <c r="D181" s="137">
        <f>IF(ISERROR(VLOOKUP(B177,planillanomina,21,FALSE)),"",VLOOKUP(B177,planillanomina,21,FALSE))</f>
        <v>29200</v>
      </c>
      <c r="E181" s="138" t="str">
        <f t="shared" ref="E181:E186" si="9">IF(ISERROR(VLOOKUP(E172,planillanomina,19,FALSE)),"",VLOOKUP(E172,planillanomina,19,FALSE))</f>
        <v/>
      </c>
    </row>
    <row r="182" spans="1:5" ht="15.75" thickBot="1" x14ac:dyDescent="0.25">
      <c r="A182" s="141" t="s">
        <v>161</v>
      </c>
      <c r="B182" s="135">
        <f>IF(ISERROR(VLOOKUP(B177,planillanomina,16,FALSE)),"",VLOOKUP(B177,planillanomina,16,FALSE))</f>
        <v>74000</v>
      </c>
      <c r="C182" s="140" t="s">
        <v>162</v>
      </c>
      <c r="D182" s="137">
        <f>IF(ISERROR(VLOOKUP(B177,planillanomina,22,FALSE)),"",VLOOKUP(B177,planillanomina,22,FALSE))</f>
        <v>0</v>
      </c>
      <c r="E182" s="138" t="str">
        <f t="shared" si="9"/>
        <v/>
      </c>
    </row>
    <row r="183" spans="1:5" ht="15.75" thickBot="1" x14ac:dyDescent="0.25">
      <c r="A183" s="139" t="s">
        <v>163</v>
      </c>
      <c r="B183" s="135">
        <f>IF(ISERROR(VLOOKUP(B177,planillanomina,17,FALSE)),"",VLOOKUP(B177,planillanomina,17,FALSE))</f>
        <v>0</v>
      </c>
      <c r="C183" s="140" t="s">
        <v>164</v>
      </c>
      <c r="D183" s="137">
        <f>IF(ISERROR(VLOOKUP(B177,planillanomina,23,FALSE)),"",VLOOKUP(B177,planillanomina,23,FALSE))</f>
        <v>40200</v>
      </c>
      <c r="E183" s="138" t="str">
        <f t="shared" si="9"/>
        <v/>
      </c>
    </row>
    <row r="184" spans="1:5" ht="15.75" thickBot="1" x14ac:dyDescent="0.25">
      <c r="A184" s="139" t="s">
        <v>165</v>
      </c>
      <c r="B184" s="135">
        <f>IF(ISERROR(VLOOKUP(B177,planillanomina,18,FALSE)),"",VLOOKUP(B177,planillanomina,18,FALSE))</f>
        <v>30000</v>
      </c>
      <c r="C184" s="142" t="s">
        <v>166</v>
      </c>
      <c r="D184" s="137">
        <f>IF(ISERROR(VLOOKUP(B177,planillanomina,24,FALSE)),"",VLOOKUP(B177,planillanomina,24,FALSE))</f>
        <v>3500</v>
      </c>
      <c r="E184" s="138" t="str">
        <f t="shared" si="9"/>
        <v/>
      </c>
    </row>
    <row r="185" spans="1:5" ht="13.5" thickBot="1" x14ac:dyDescent="0.25">
      <c r="A185" s="143"/>
      <c r="B185" s="135"/>
      <c r="C185" s="144"/>
      <c r="D185" s="137"/>
      <c r="E185" s="138" t="str">
        <f t="shared" si="9"/>
        <v/>
      </c>
    </row>
    <row r="186" spans="1:5" ht="15.75" thickBot="1" x14ac:dyDescent="0.25">
      <c r="A186" s="145" t="s">
        <v>167</v>
      </c>
      <c r="B186" s="135">
        <f>IF(ISERROR(VLOOKUP(B177,planillanomina,19,FALSE)),"",VLOOKUP(B177,planillanomina,19,FALSE))</f>
        <v>804000</v>
      </c>
      <c r="C186" s="146" t="s">
        <v>168</v>
      </c>
      <c r="D186" s="137">
        <f>IF(ISERROR(VLOOKUP(B177,planillanomina,25,FALSE)),"",VLOOKUP(B177,planillanomina,25,FALSE))</f>
        <v>102100</v>
      </c>
      <c r="E186" s="138" t="str">
        <f t="shared" si="9"/>
        <v/>
      </c>
    </row>
    <row r="187" spans="1:5" x14ac:dyDescent="0.2">
      <c r="A187" s="143"/>
      <c r="B187" s="147"/>
      <c r="C187" s="144"/>
      <c r="D187" s="144"/>
      <c r="E187" s="133"/>
    </row>
    <row r="188" spans="1:5" ht="13.5" thickBot="1" x14ac:dyDescent="0.25">
      <c r="A188" s="148"/>
      <c r="B188" s="149"/>
      <c r="C188" s="150"/>
      <c r="D188" s="150"/>
      <c r="E188" s="151"/>
    </row>
    <row r="189" spans="1:5" ht="18.75" thickBot="1" x14ac:dyDescent="0.3">
      <c r="B189" s="36"/>
      <c r="C189" s="37" t="s">
        <v>87</v>
      </c>
      <c r="D189" s="253">
        <f>IF(ISERROR(VLOOKUP(B177,planillanomina,26,FALSE)),"",VLOOKUP(B177,planillanomina,26,FALSE))</f>
        <v>701900</v>
      </c>
      <c r="E189" s="254" t="str">
        <f>IF(ISERROR(VLOOKUP(C180,planillanomina,25,FALSE)),"",VLOOKUP(C180,planillanomina,25,FALSE))</f>
        <v/>
      </c>
    </row>
    <row r="190" spans="1:5" ht="13.5" thickBot="1" x14ac:dyDescent="0.25"/>
    <row r="191" spans="1:5" x14ac:dyDescent="0.2">
      <c r="A191" s="255"/>
      <c r="B191" s="256"/>
      <c r="C191" s="256"/>
      <c r="D191" s="256"/>
      <c r="E191" s="257"/>
    </row>
    <row r="192" spans="1:5" ht="18" x14ac:dyDescent="0.25">
      <c r="A192" s="269" t="s">
        <v>153</v>
      </c>
      <c r="B192" s="270"/>
      <c r="C192" s="270"/>
      <c r="D192" s="270"/>
      <c r="E192" s="271"/>
    </row>
    <row r="193" spans="1:5" ht="18" x14ac:dyDescent="0.25">
      <c r="A193" s="272" t="s">
        <v>154</v>
      </c>
      <c r="B193" s="273"/>
      <c r="C193" s="273"/>
      <c r="D193" s="273"/>
      <c r="E193" s="274"/>
    </row>
    <row r="194" spans="1:5" ht="15" x14ac:dyDescent="0.2">
      <c r="A194" s="275" t="s">
        <v>174</v>
      </c>
      <c r="B194" s="276"/>
      <c r="C194" s="276"/>
      <c r="D194" s="276"/>
      <c r="E194" s="277"/>
    </row>
    <row r="195" spans="1:5" ht="13.5" thickBot="1" x14ac:dyDescent="0.25">
      <c r="A195" s="258"/>
      <c r="B195" s="259"/>
      <c r="C195" s="259"/>
      <c r="D195" s="259"/>
      <c r="E195" s="260"/>
    </row>
    <row r="196" spans="1:5" ht="15.75" thickBot="1" x14ac:dyDescent="0.25">
      <c r="A196" s="34" t="s">
        <v>155</v>
      </c>
      <c r="B196" s="261" t="s">
        <v>31</v>
      </c>
      <c r="C196" s="262"/>
      <c r="D196" s="262"/>
      <c r="E196" s="263"/>
    </row>
    <row r="197" spans="1:5" ht="15.75" thickBot="1" x14ac:dyDescent="0.25">
      <c r="A197" s="35" t="s">
        <v>156</v>
      </c>
      <c r="B197" s="266" t="str">
        <f>IF(ISBLANK(B196),"",IF(ISERROR(VLOOKUP(B196,planillanomina,2,FALSE)),"no existe",VLOOKUP(B196,planillanomina,2,FALSE)))</f>
        <v>Dora Luz Montoya</v>
      </c>
      <c r="C197" s="267"/>
      <c r="D197" s="267"/>
      <c r="E197" s="268"/>
    </row>
    <row r="198" spans="1:5" ht="15.75" thickBot="1" x14ac:dyDescent="0.25">
      <c r="A198" s="278"/>
      <c r="B198" s="279"/>
      <c r="C198" s="279"/>
      <c r="D198" s="279"/>
      <c r="E198" s="133"/>
    </row>
    <row r="199" spans="1:5" ht="15.75" thickBot="1" x14ac:dyDescent="0.25">
      <c r="A199" s="134" t="s">
        <v>157</v>
      </c>
      <c r="B199" s="135">
        <f>IF(ISERROR(VLOOKUP(B196,planillanomina,6,FALSE)),"",VLOOKUP(B196,planillanomina,6,FALSE))</f>
        <v>900000</v>
      </c>
      <c r="C199" s="136" t="s">
        <v>158</v>
      </c>
      <c r="D199" s="137">
        <f>IF(ISERROR(VLOOKUP(B196,planillanomina,20,FALSE)),"",VLOOKUP(B196,planillanomina,20,FALSE))</f>
        <v>37200</v>
      </c>
      <c r="E199" s="138" t="str">
        <f>IF(ISERROR(VLOOKUP(#REF!,planillanomina,19,FALSE)),"",VLOOKUP(#REF!,planillanomina,19,FALSE))</f>
        <v/>
      </c>
    </row>
    <row r="200" spans="1:5" ht="15.75" thickBot="1" x14ac:dyDescent="0.25">
      <c r="A200" s="139" t="s">
        <v>159</v>
      </c>
      <c r="B200" s="135">
        <f>IF(ISERROR(VLOOKUP(B196,planillanomina,15,FALSE)),"",VLOOKUP(B196,planillanomina,15,FALSE))</f>
        <v>0</v>
      </c>
      <c r="C200" s="140" t="s">
        <v>160</v>
      </c>
      <c r="D200" s="137">
        <f>IF(ISERROR(VLOOKUP(B196,planillanomina,21,FALSE)),"",VLOOKUP(B196,planillanomina,21,FALSE))</f>
        <v>37200</v>
      </c>
      <c r="E200" s="138" t="str">
        <f t="shared" ref="E200:E205" si="10">IF(ISERROR(VLOOKUP(E191,planillanomina,19,FALSE)),"",VLOOKUP(E191,planillanomina,19,FALSE))</f>
        <v/>
      </c>
    </row>
    <row r="201" spans="1:5" ht="15.75" thickBot="1" x14ac:dyDescent="0.25">
      <c r="A201" s="141" t="s">
        <v>161</v>
      </c>
      <c r="B201" s="135">
        <f>IF(ISERROR(VLOOKUP(B196,planillanomina,16,FALSE)),"",VLOOKUP(B196,planillanomina,16,FALSE))</f>
        <v>74000</v>
      </c>
      <c r="C201" s="140" t="s">
        <v>162</v>
      </c>
      <c r="D201" s="137">
        <f>IF(ISERROR(VLOOKUP(B196,planillanomina,22,FALSE)),"",VLOOKUP(B196,planillanomina,22,FALSE))</f>
        <v>0</v>
      </c>
      <c r="E201" s="138" t="str">
        <f t="shared" si="10"/>
        <v/>
      </c>
    </row>
    <row r="202" spans="1:5" ht="15.75" thickBot="1" x14ac:dyDescent="0.25">
      <c r="A202" s="139" t="s">
        <v>163</v>
      </c>
      <c r="B202" s="135">
        <f>IF(ISERROR(VLOOKUP(B196,planillanomina,17,FALSE)),"",VLOOKUP(B196,planillanomina,17,FALSE))</f>
        <v>0</v>
      </c>
      <c r="C202" s="140" t="s">
        <v>164</v>
      </c>
      <c r="D202" s="137">
        <f>IF(ISERROR(VLOOKUP(B196,planillanomina,23,FALSE)),"",VLOOKUP(B196,planillanomina,23,FALSE))</f>
        <v>100400</v>
      </c>
      <c r="E202" s="138" t="str">
        <f t="shared" si="10"/>
        <v/>
      </c>
    </row>
    <row r="203" spans="1:5" ht="15.75" thickBot="1" x14ac:dyDescent="0.25">
      <c r="A203" s="139" t="s">
        <v>165</v>
      </c>
      <c r="B203" s="135">
        <f>IF(ISERROR(VLOOKUP(B196,planillanomina,18,FALSE)),"",VLOOKUP(B196,planillanomina,18,FALSE))</f>
        <v>30000</v>
      </c>
      <c r="C203" s="142" t="s">
        <v>166</v>
      </c>
      <c r="D203" s="137">
        <f>IF(ISERROR(VLOOKUP(B196,planillanomina,24,FALSE)),"",VLOOKUP(B196,planillanomina,24,FALSE))</f>
        <v>18000</v>
      </c>
      <c r="E203" s="138" t="str">
        <f t="shared" si="10"/>
        <v/>
      </c>
    </row>
    <row r="204" spans="1:5" ht="13.5" thickBot="1" x14ac:dyDescent="0.25">
      <c r="A204" s="143"/>
      <c r="B204" s="135"/>
      <c r="C204" s="144"/>
      <c r="D204" s="137"/>
      <c r="E204" s="138" t="str">
        <f t="shared" si="10"/>
        <v/>
      </c>
    </row>
    <row r="205" spans="1:5" ht="15.75" thickBot="1" x14ac:dyDescent="0.25">
      <c r="A205" s="145" t="s">
        <v>167</v>
      </c>
      <c r="B205" s="135">
        <f>IF(ISERROR(VLOOKUP(B196,planillanomina,19,FALSE)),"",VLOOKUP(B196,planillanomina,19,FALSE))</f>
        <v>1004000</v>
      </c>
      <c r="C205" s="146" t="s">
        <v>168</v>
      </c>
      <c r="D205" s="137">
        <f>IF(ISERROR(VLOOKUP(B196,planillanomina,25,FALSE)),"",VLOOKUP(B196,planillanomina,25,FALSE))</f>
        <v>192800</v>
      </c>
      <c r="E205" s="138" t="str">
        <f t="shared" si="10"/>
        <v/>
      </c>
    </row>
    <row r="206" spans="1:5" x14ac:dyDescent="0.2">
      <c r="A206" s="143"/>
      <c r="B206" s="147"/>
      <c r="C206" s="144"/>
      <c r="D206" s="144"/>
      <c r="E206" s="133"/>
    </row>
    <row r="207" spans="1:5" ht="13.5" thickBot="1" x14ac:dyDescent="0.25">
      <c r="A207" s="148"/>
      <c r="B207" s="149"/>
      <c r="C207" s="150"/>
      <c r="D207" s="150"/>
      <c r="E207" s="151"/>
    </row>
    <row r="208" spans="1:5" ht="18.75" thickBot="1" x14ac:dyDescent="0.3">
      <c r="B208" s="36"/>
      <c r="C208" s="37" t="s">
        <v>87</v>
      </c>
      <c r="D208" s="253">
        <f>IF(ISERROR(VLOOKUP(B196,planillanomina,26,FALSE)),"",VLOOKUP(B196,planillanomina,26,FALSE))</f>
        <v>811200</v>
      </c>
      <c r="E208" s="254" t="str">
        <f>IF(ISERROR(VLOOKUP(C199,planillanomina,25,FALSE)),"",VLOOKUP(C199,planillanomina,25,FALSE))</f>
        <v/>
      </c>
    </row>
    <row r="209" spans="1:5" ht="13.5" thickBot="1" x14ac:dyDescent="0.25"/>
    <row r="210" spans="1:5" x14ac:dyDescent="0.2">
      <c r="A210" s="255"/>
      <c r="B210" s="256"/>
      <c r="C210" s="256"/>
      <c r="D210" s="256"/>
      <c r="E210" s="257"/>
    </row>
    <row r="211" spans="1:5" ht="18" x14ac:dyDescent="0.25">
      <c r="A211" s="269" t="s">
        <v>153</v>
      </c>
      <c r="B211" s="270"/>
      <c r="C211" s="270"/>
      <c r="D211" s="270"/>
      <c r="E211" s="271"/>
    </row>
    <row r="212" spans="1:5" ht="18" x14ac:dyDescent="0.25">
      <c r="A212" s="272" t="s">
        <v>154</v>
      </c>
      <c r="B212" s="273"/>
      <c r="C212" s="273"/>
      <c r="D212" s="273"/>
      <c r="E212" s="274"/>
    </row>
    <row r="213" spans="1:5" ht="15" x14ac:dyDescent="0.2">
      <c r="A213" s="275" t="s">
        <v>174</v>
      </c>
      <c r="B213" s="276"/>
      <c r="C213" s="276"/>
      <c r="D213" s="276"/>
      <c r="E213" s="277"/>
    </row>
    <row r="214" spans="1:5" ht="13.5" thickBot="1" x14ac:dyDescent="0.25">
      <c r="A214" s="258"/>
      <c r="B214" s="259"/>
      <c r="C214" s="259"/>
      <c r="D214" s="259"/>
      <c r="E214" s="260"/>
    </row>
    <row r="215" spans="1:5" ht="15.75" thickBot="1" x14ac:dyDescent="0.25">
      <c r="A215" s="34" t="s">
        <v>155</v>
      </c>
      <c r="B215" s="261" t="s">
        <v>33</v>
      </c>
      <c r="C215" s="262"/>
      <c r="D215" s="262"/>
      <c r="E215" s="263"/>
    </row>
    <row r="216" spans="1:5" ht="15.75" thickBot="1" x14ac:dyDescent="0.25">
      <c r="A216" s="35" t="s">
        <v>156</v>
      </c>
      <c r="B216" s="266" t="str">
        <f>IF(ISBLANK(B215),"",IF(ISERROR(VLOOKUP(B215,planillanomina,2,FALSE)),"no existe",VLOOKUP(B215,planillanomina,2,FALSE)))</f>
        <v>Doralba Galeano</v>
      </c>
      <c r="C216" s="267"/>
      <c r="D216" s="267"/>
      <c r="E216" s="268"/>
    </row>
    <row r="217" spans="1:5" ht="15.75" thickBot="1" x14ac:dyDescent="0.25">
      <c r="A217" s="278"/>
      <c r="B217" s="279"/>
      <c r="C217" s="279"/>
      <c r="D217" s="279"/>
      <c r="E217" s="133"/>
    </row>
    <row r="218" spans="1:5" ht="15.75" thickBot="1" x14ac:dyDescent="0.25">
      <c r="A218" s="134" t="s">
        <v>157</v>
      </c>
      <c r="B218" s="135">
        <f>IF(ISERROR(VLOOKUP(B215,planillanomina,6,FALSE)),"",VLOOKUP(B215,planillanomina,6,FALSE))</f>
        <v>644350</v>
      </c>
      <c r="C218" s="136" t="s">
        <v>158</v>
      </c>
      <c r="D218" s="137">
        <f>IF(ISERROR(VLOOKUP(B215,planillanomina,20,FALSE)),"",VLOOKUP(B215,planillanomina,20,FALSE))</f>
        <v>29775.529166666667</v>
      </c>
      <c r="E218" s="138" t="str">
        <f>IF(ISERROR(VLOOKUP(#REF!,planillanomina,19,FALSE)),"",VLOOKUP(#REF!,planillanomina,19,FALSE))</f>
        <v/>
      </c>
    </row>
    <row r="219" spans="1:5" ht="15.75" thickBot="1" x14ac:dyDescent="0.25">
      <c r="A219" s="139" t="s">
        <v>159</v>
      </c>
      <c r="B219" s="135">
        <f>IF(ISERROR(VLOOKUP(B215,planillanomina,15,FALSE)),"",VLOOKUP(B215,planillanomina,15,FALSE))</f>
        <v>55038.229166666664</v>
      </c>
      <c r="C219" s="140" t="s">
        <v>160</v>
      </c>
      <c r="D219" s="137">
        <f>IF(ISERROR(VLOOKUP(B215,planillanomina,21,FALSE)),"",VLOOKUP(B215,planillanomina,21,FALSE))</f>
        <v>29775.529166666667</v>
      </c>
      <c r="E219" s="138" t="str">
        <f t="shared" ref="E219:E224" si="11">IF(ISERROR(VLOOKUP(E210,planillanomina,19,FALSE)),"",VLOOKUP(E210,planillanomina,19,FALSE))</f>
        <v/>
      </c>
    </row>
    <row r="220" spans="1:5" ht="15.75" thickBot="1" x14ac:dyDescent="0.25">
      <c r="A220" s="141" t="s">
        <v>161</v>
      </c>
      <c r="B220" s="135">
        <f>IF(ISERROR(VLOOKUP(B215,planillanomina,16,FALSE)),"",VLOOKUP(B215,planillanomina,16,FALSE))</f>
        <v>74000</v>
      </c>
      <c r="C220" s="140" t="s">
        <v>162</v>
      </c>
      <c r="D220" s="137">
        <f>IF(ISERROR(VLOOKUP(B215,planillanomina,22,FALSE)),"",VLOOKUP(B215,planillanomina,22,FALSE))</f>
        <v>0</v>
      </c>
      <c r="E220" s="138" t="str">
        <f t="shared" si="11"/>
        <v/>
      </c>
    </row>
    <row r="221" spans="1:5" ht="15.75" thickBot="1" x14ac:dyDescent="0.25">
      <c r="A221" s="139" t="s">
        <v>163</v>
      </c>
      <c r="B221" s="135">
        <f>IF(ISERROR(VLOOKUP(B215,planillanomina,17,FALSE)),"",VLOOKUP(B215,planillanomina,17,FALSE))</f>
        <v>0</v>
      </c>
      <c r="C221" s="140" t="s">
        <v>164</v>
      </c>
      <c r="D221" s="137">
        <f>IF(ISERROR(VLOOKUP(B215,planillanomina,23,FALSE)),"",VLOOKUP(B215,planillanomina,23,FALSE))</f>
        <v>40919.411458333336</v>
      </c>
      <c r="E221" s="138" t="str">
        <f t="shared" si="11"/>
        <v/>
      </c>
    </row>
    <row r="222" spans="1:5" ht="15.75" thickBot="1" x14ac:dyDescent="0.25">
      <c r="A222" s="139" t="s">
        <v>165</v>
      </c>
      <c r="B222" s="135">
        <f>IF(ISERROR(VLOOKUP(B215,planillanomina,18,FALSE)),"",VLOOKUP(B215,planillanomina,18,FALSE))</f>
        <v>44999.999999999993</v>
      </c>
      <c r="C222" s="142" t="s">
        <v>166</v>
      </c>
      <c r="D222" s="137">
        <f>IF(ISERROR(VLOOKUP(B215,planillanomina,24,FALSE)),"",VLOOKUP(B215,planillanomina,24,FALSE))</f>
        <v>3221.75</v>
      </c>
      <c r="E222" s="138" t="str">
        <f t="shared" si="11"/>
        <v/>
      </c>
    </row>
    <row r="223" spans="1:5" ht="13.5" thickBot="1" x14ac:dyDescent="0.25">
      <c r="A223" s="143"/>
      <c r="B223" s="135"/>
      <c r="C223" s="144"/>
      <c r="D223" s="137"/>
      <c r="E223" s="138" t="str">
        <f t="shared" si="11"/>
        <v/>
      </c>
    </row>
    <row r="224" spans="1:5" ht="15.75" thickBot="1" x14ac:dyDescent="0.25">
      <c r="A224" s="145" t="s">
        <v>167</v>
      </c>
      <c r="B224" s="135">
        <f>IF(ISERROR(VLOOKUP(B215,planillanomina,19,FALSE)),"",VLOOKUP(B215,planillanomina,19,FALSE))</f>
        <v>818388.22916666663</v>
      </c>
      <c r="C224" s="146" t="s">
        <v>168</v>
      </c>
      <c r="D224" s="137">
        <f>IF(ISERROR(VLOOKUP(B215,planillanomina,25,FALSE)),"",VLOOKUP(B215,planillanomina,25,FALSE))</f>
        <v>103692.21979166666</v>
      </c>
      <c r="E224" s="138" t="str">
        <f t="shared" si="11"/>
        <v/>
      </c>
    </row>
    <row r="225" spans="1:5" x14ac:dyDescent="0.2">
      <c r="A225" s="143"/>
      <c r="B225" s="147"/>
      <c r="C225" s="144"/>
      <c r="D225" s="144"/>
      <c r="E225" s="133"/>
    </row>
    <row r="226" spans="1:5" ht="13.5" thickBot="1" x14ac:dyDescent="0.25">
      <c r="A226" s="148"/>
      <c r="B226" s="149"/>
      <c r="C226" s="150"/>
      <c r="D226" s="150"/>
      <c r="E226" s="151"/>
    </row>
    <row r="227" spans="1:5" ht="18.75" thickBot="1" x14ac:dyDescent="0.3">
      <c r="B227" s="36"/>
      <c r="C227" s="37" t="s">
        <v>87</v>
      </c>
      <c r="D227" s="253">
        <f>IF(ISERROR(VLOOKUP(B215,planillanomina,26,FALSE)),"",VLOOKUP(B215,planillanomina,26,FALSE))</f>
        <v>714696.00937499991</v>
      </c>
      <c r="E227" s="254" t="str">
        <f>IF(ISERROR(VLOOKUP(C218,planillanomina,25,FALSE)),"",VLOOKUP(C218,planillanomina,25,FALSE))</f>
        <v/>
      </c>
    </row>
    <row r="228" spans="1:5" ht="13.5" thickBot="1" x14ac:dyDescent="0.25"/>
    <row r="229" spans="1:5" x14ac:dyDescent="0.2">
      <c r="A229" s="255"/>
      <c r="B229" s="256"/>
      <c r="C229" s="256"/>
      <c r="D229" s="256"/>
      <c r="E229" s="257"/>
    </row>
    <row r="230" spans="1:5" ht="18" x14ac:dyDescent="0.25">
      <c r="A230" s="269" t="s">
        <v>153</v>
      </c>
      <c r="B230" s="270"/>
      <c r="C230" s="270"/>
      <c r="D230" s="270"/>
      <c r="E230" s="271"/>
    </row>
    <row r="231" spans="1:5" ht="18" x14ac:dyDescent="0.25">
      <c r="A231" s="272" t="s">
        <v>154</v>
      </c>
      <c r="B231" s="273"/>
      <c r="C231" s="273"/>
      <c r="D231" s="273"/>
      <c r="E231" s="274"/>
    </row>
    <row r="232" spans="1:5" ht="15" x14ac:dyDescent="0.2">
      <c r="A232" s="275" t="s">
        <v>174</v>
      </c>
      <c r="B232" s="276"/>
      <c r="C232" s="276"/>
      <c r="D232" s="276"/>
      <c r="E232" s="277"/>
    </row>
    <row r="233" spans="1:5" ht="13.5" thickBot="1" x14ac:dyDescent="0.25">
      <c r="A233" s="258"/>
      <c r="B233" s="259"/>
      <c r="C233" s="259"/>
      <c r="D233" s="259"/>
      <c r="E233" s="260"/>
    </row>
    <row r="234" spans="1:5" ht="15.75" thickBot="1" x14ac:dyDescent="0.25">
      <c r="A234" s="34" t="s">
        <v>155</v>
      </c>
      <c r="B234" s="261" t="s">
        <v>36</v>
      </c>
      <c r="C234" s="262"/>
      <c r="D234" s="262"/>
      <c r="E234" s="263"/>
    </row>
    <row r="235" spans="1:5" ht="15.75" thickBot="1" x14ac:dyDescent="0.25">
      <c r="A235" s="35" t="s">
        <v>156</v>
      </c>
      <c r="B235" s="266" t="str">
        <f>IF(ISBLANK(B234),"",IF(ISERROR(VLOOKUP(B234,planillanomina,2,FALSE)),"no existe",VLOOKUP(B234,planillanomina,2,FALSE)))</f>
        <v>Eliana Marcela Aguirre</v>
      </c>
      <c r="C235" s="267"/>
      <c r="D235" s="267"/>
      <c r="E235" s="268"/>
    </row>
    <row r="236" spans="1:5" ht="15.75" thickBot="1" x14ac:dyDescent="0.25">
      <c r="A236" s="278"/>
      <c r="B236" s="279"/>
      <c r="C236" s="279"/>
      <c r="D236" s="279"/>
      <c r="E236" s="133"/>
    </row>
    <row r="237" spans="1:5" ht="15.75" thickBot="1" x14ac:dyDescent="0.25">
      <c r="A237" s="134" t="s">
        <v>157</v>
      </c>
      <c r="B237" s="135">
        <f>IF(ISERROR(VLOOKUP(B234,planillanomina,6,FALSE)),"",VLOOKUP(B234,planillanomina,6,FALSE))</f>
        <v>7000000</v>
      </c>
      <c r="C237" s="136" t="s">
        <v>158</v>
      </c>
      <c r="D237" s="137">
        <f>IF(ISERROR(VLOOKUP(B234,planillanomina,20,FALSE)),"",VLOOKUP(B234,planillanomina,20,FALSE))</f>
        <v>281200</v>
      </c>
      <c r="E237" s="138" t="str">
        <f>IF(ISERROR(VLOOKUP(#REF!,planillanomina,19,FALSE)),"",VLOOKUP(#REF!,planillanomina,19,FALSE))</f>
        <v/>
      </c>
    </row>
    <row r="238" spans="1:5" ht="15.75" thickBot="1" x14ac:dyDescent="0.25">
      <c r="A238" s="139" t="s">
        <v>159</v>
      </c>
      <c r="B238" s="135">
        <f>IF(ISERROR(VLOOKUP(B234,planillanomina,15,FALSE)),"",VLOOKUP(B234,planillanomina,15,FALSE))</f>
        <v>0</v>
      </c>
      <c r="C238" s="140" t="s">
        <v>160</v>
      </c>
      <c r="D238" s="137">
        <f>IF(ISERROR(VLOOKUP(B234,planillanomina,21,FALSE)),"",VLOOKUP(B234,planillanomina,21,FALSE))</f>
        <v>281200</v>
      </c>
      <c r="E238" s="138" t="str">
        <f t="shared" ref="E238:E243" si="12">IF(ISERROR(VLOOKUP(E229,planillanomina,19,FALSE)),"",VLOOKUP(E229,planillanomina,19,FALSE))</f>
        <v/>
      </c>
    </row>
    <row r="239" spans="1:5" ht="15.75" thickBot="1" x14ac:dyDescent="0.25">
      <c r="A239" s="141" t="s">
        <v>161</v>
      </c>
      <c r="B239" s="135">
        <f>IF(ISERROR(VLOOKUP(B234,planillanomina,16,FALSE)),"",VLOOKUP(B234,planillanomina,16,FALSE))</f>
        <v>0</v>
      </c>
      <c r="C239" s="140" t="s">
        <v>162</v>
      </c>
      <c r="D239" s="137">
        <f>IF(ISERROR(VLOOKUP(B234,planillanomina,22,FALSE)),"",VLOOKUP(B234,planillanomina,22,FALSE))</f>
        <v>70300</v>
      </c>
      <c r="E239" s="138" t="str">
        <f t="shared" si="12"/>
        <v/>
      </c>
    </row>
    <row r="240" spans="1:5" ht="15.75" thickBot="1" x14ac:dyDescent="0.25">
      <c r="A240" s="139" t="s">
        <v>163</v>
      </c>
      <c r="B240" s="135">
        <f>IF(ISERROR(VLOOKUP(B234,planillanomina,17,FALSE)),"",VLOOKUP(B234,planillanomina,17,FALSE))</f>
        <v>0</v>
      </c>
      <c r="C240" s="140" t="s">
        <v>164</v>
      </c>
      <c r="D240" s="137">
        <f>IF(ISERROR(VLOOKUP(B234,planillanomina,23,FALSE)),"",VLOOKUP(B234,planillanomina,23,FALSE))</f>
        <v>703000</v>
      </c>
      <c r="E240" s="138" t="str">
        <f t="shared" si="12"/>
        <v/>
      </c>
    </row>
    <row r="241" spans="1:5" ht="15.75" thickBot="1" x14ac:dyDescent="0.25">
      <c r="A241" s="139" t="s">
        <v>165</v>
      </c>
      <c r="B241" s="135">
        <f>IF(ISERROR(VLOOKUP(B234,planillanomina,18,FALSE)),"",VLOOKUP(B234,planillanomina,18,FALSE))</f>
        <v>30000</v>
      </c>
      <c r="C241" s="142" t="s">
        <v>166</v>
      </c>
      <c r="D241" s="137">
        <f>IF(ISERROR(VLOOKUP(B234,planillanomina,24,FALSE)),"",VLOOKUP(B234,planillanomina,24,FALSE))</f>
        <v>140000</v>
      </c>
      <c r="E241" s="138" t="str">
        <f t="shared" si="12"/>
        <v/>
      </c>
    </row>
    <row r="242" spans="1:5" ht="13.5" thickBot="1" x14ac:dyDescent="0.25">
      <c r="A242" s="143"/>
      <c r="B242" s="135"/>
      <c r="C242" s="144"/>
      <c r="D242" s="137"/>
      <c r="E242" s="138" t="str">
        <f t="shared" si="12"/>
        <v/>
      </c>
    </row>
    <row r="243" spans="1:5" ht="15.75" thickBot="1" x14ac:dyDescent="0.25">
      <c r="A243" s="145" t="s">
        <v>167</v>
      </c>
      <c r="B243" s="135">
        <f>IF(ISERROR(VLOOKUP(B234,planillanomina,19,FALSE)),"",VLOOKUP(B234,planillanomina,19,FALSE))</f>
        <v>7030000</v>
      </c>
      <c r="C243" s="146" t="s">
        <v>168</v>
      </c>
      <c r="D243" s="137">
        <f>IF(ISERROR(VLOOKUP(B234,planillanomina,25,FALSE)),"",VLOOKUP(B234,planillanomina,25,FALSE))</f>
        <v>1475700</v>
      </c>
      <c r="E243" s="138" t="str">
        <f t="shared" si="12"/>
        <v/>
      </c>
    </row>
    <row r="244" spans="1:5" x14ac:dyDescent="0.2">
      <c r="A244" s="143"/>
      <c r="B244" s="147"/>
      <c r="C244" s="144"/>
      <c r="D244" s="144"/>
      <c r="E244" s="133"/>
    </row>
    <row r="245" spans="1:5" ht="13.5" thickBot="1" x14ac:dyDescent="0.25">
      <c r="A245" s="148"/>
      <c r="B245" s="149"/>
      <c r="C245" s="150"/>
      <c r="D245" s="150"/>
      <c r="E245" s="151"/>
    </row>
    <row r="246" spans="1:5" ht="18.75" thickBot="1" x14ac:dyDescent="0.3">
      <c r="B246" s="36"/>
      <c r="C246" s="37" t="s">
        <v>87</v>
      </c>
      <c r="D246" s="253">
        <f>IF(ISERROR(VLOOKUP(B234,planillanomina,26,FALSE)),"",VLOOKUP(B234,planillanomina,26,FALSE))</f>
        <v>5554300</v>
      </c>
      <c r="E246" s="254" t="str">
        <f>IF(ISERROR(VLOOKUP(C237,planillanomina,25,FALSE)),"",VLOOKUP(C237,planillanomina,25,FALSE))</f>
        <v/>
      </c>
    </row>
    <row r="247" spans="1:5" ht="13.5" thickBot="1" x14ac:dyDescent="0.25"/>
    <row r="248" spans="1:5" x14ac:dyDescent="0.2">
      <c r="A248" s="255"/>
      <c r="B248" s="256"/>
      <c r="C248" s="256"/>
      <c r="D248" s="256"/>
      <c r="E248" s="257"/>
    </row>
    <row r="249" spans="1:5" ht="18" x14ac:dyDescent="0.25">
      <c r="A249" s="269" t="s">
        <v>153</v>
      </c>
      <c r="B249" s="270"/>
      <c r="C249" s="270"/>
      <c r="D249" s="270"/>
      <c r="E249" s="271"/>
    </row>
    <row r="250" spans="1:5" ht="18" x14ac:dyDescent="0.25">
      <c r="A250" s="272" t="s">
        <v>154</v>
      </c>
      <c r="B250" s="273"/>
      <c r="C250" s="273"/>
      <c r="D250" s="273"/>
      <c r="E250" s="274"/>
    </row>
    <row r="251" spans="1:5" ht="15" x14ac:dyDescent="0.2">
      <c r="A251" s="275" t="s">
        <v>174</v>
      </c>
      <c r="B251" s="276"/>
      <c r="C251" s="276"/>
      <c r="D251" s="276"/>
      <c r="E251" s="277"/>
    </row>
    <row r="252" spans="1:5" ht="13.5" thickBot="1" x14ac:dyDescent="0.25">
      <c r="A252" s="258"/>
      <c r="B252" s="259"/>
      <c r="C252" s="259"/>
      <c r="D252" s="259"/>
      <c r="E252" s="260"/>
    </row>
    <row r="253" spans="1:5" ht="15.75" thickBot="1" x14ac:dyDescent="0.25">
      <c r="A253" s="34" t="s">
        <v>155</v>
      </c>
      <c r="B253" s="261" t="s">
        <v>39</v>
      </c>
      <c r="C253" s="262"/>
      <c r="D253" s="262"/>
      <c r="E253" s="263"/>
    </row>
    <row r="254" spans="1:5" ht="15.75" thickBot="1" x14ac:dyDescent="0.25">
      <c r="A254" s="35" t="s">
        <v>156</v>
      </c>
      <c r="B254" s="266" t="str">
        <f>IF(ISBLANK(B253),"",IF(ISERROR(VLOOKUP(B253,planillanomina,2,FALSE)),"no existe",VLOOKUP(B253,planillanomina,2,FALSE)))</f>
        <v>Francy Ruby Román</v>
      </c>
      <c r="C254" s="267"/>
      <c r="D254" s="267"/>
      <c r="E254" s="268"/>
    </row>
    <row r="255" spans="1:5" ht="15.75" thickBot="1" x14ac:dyDescent="0.25">
      <c r="A255" s="278"/>
      <c r="B255" s="279"/>
      <c r="C255" s="279"/>
      <c r="D255" s="279"/>
      <c r="E255" s="133"/>
    </row>
    <row r="256" spans="1:5" ht="15.75" thickBot="1" x14ac:dyDescent="0.25">
      <c r="A256" s="134" t="s">
        <v>157</v>
      </c>
      <c r="B256" s="135">
        <f>IF(ISERROR(VLOOKUP(B253,planillanomina,6,FALSE)),"",VLOOKUP(B253,planillanomina,6,FALSE))</f>
        <v>900000</v>
      </c>
      <c r="C256" s="136" t="s">
        <v>158</v>
      </c>
      <c r="D256" s="137">
        <f>IF(ISERROR(VLOOKUP(B253,planillanomina,20,FALSE)),"",VLOOKUP(B253,planillanomina,20,FALSE))</f>
        <v>37200</v>
      </c>
      <c r="E256" s="138" t="str">
        <f>IF(ISERROR(VLOOKUP(#REF!,planillanomina,19,FALSE)),"",VLOOKUP(#REF!,planillanomina,19,FALSE))</f>
        <v/>
      </c>
    </row>
    <row r="257" spans="1:5" ht="15.75" thickBot="1" x14ac:dyDescent="0.25">
      <c r="A257" s="139" t="s">
        <v>159</v>
      </c>
      <c r="B257" s="135">
        <f>IF(ISERROR(VLOOKUP(B253,planillanomina,15,FALSE)),"",VLOOKUP(B253,planillanomina,15,FALSE))</f>
        <v>0</v>
      </c>
      <c r="C257" s="140" t="s">
        <v>160</v>
      </c>
      <c r="D257" s="137">
        <f>IF(ISERROR(VLOOKUP(B253,planillanomina,21,FALSE)),"",VLOOKUP(B253,planillanomina,21,FALSE))</f>
        <v>37200</v>
      </c>
      <c r="E257" s="138" t="str">
        <f t="shared" ref="E257:E262" si="13">IF(ISERROR(VLOOKUP(E248,planillanomina,19,FALSE)),"",VLOOKUP(E248,planillanomina,19,FALSE))</f>
        <v/>
      </c>
    </row>
    <row r="258" spans="1:5" ht="15.75" thickBot="1" x14ac:dyDescent="0.25">
      <c r="A258" s="141" t="s">
        <v>161</v>
      </c>
      <c r="B258" s="135">
        <f>IF(ISERROR(VLOOKUP(B253,planillanomina,16,FALSE)),"",VLOOKUP(B253,planillanomina,16,FALSE))</f>
        <v>74000</v>
      </c>
      <c r="C258" s="140" t="s">
        <v>162</v>
      </c>
      <c r="D258" s="137">
        <f>IF(ISERROR(VLOOKUP(B253,planillanomina,22,FALSE)),"",VLOOKUP(B253,planillanomina,22,FALSE))</f>
        <v>0</v>
      </c>
      <c r="E258" s="138" t="str">
        <f t="shared" si="13"/>
        <v/>
      </c>
    </row>
    <row r="259" spans="1:5" ht="15.75" thickBot="1" x14ac:dyDescent="0.25">
      <c r="A259" s="139" t="s">
        <v>163</v>
      </c>
      <c r="B259" s="135">
        <f>IF(ISERROR(VLOOKUP(B253,planillanomina,17,FALSE)),"",VLOOKUP(B253,planillanomina,17,FALSE))</f>
        <v>0</v>
      </c>
      <c r="C259" s="140" t="s">
        <v>164</v>
      </c>
      <c r="D259" s="137">
        <f>IF(ISERROR(VLOOKUP(B253,planillanomina,23,FALSE)),"",VLOOKUP(B253,planillanomina,23,FALSE))</f>
        <v>100400</v>
      </c>
      <c r="E259" s="138" t="str">
        <f t="shared" si="13"/>
        <v/>
      </c>
    </row>
    <row r="260" spans="1:5" ht="15.75" thickBot="1" x14ac:dyDescent="0.25">
      <c r="A260" s="139" t="s">
        <v>165</v>
      </c>
      <c r="B260" s="135">
        <f>IF(ISERROR(VLOOKUP(B253,planillanomina,18,FALSE)),"",VLOOKUP(B253,planillanomina,18,FALSE))</f>
        <v>30000</v>
      </c>
      <c r="C260" s="142" t="s">
        <v>166</v>
      </c>
      <c r="D260" s="137">
        <f>IF(ISERROR(VLOOKUP(B253,planillanomina,24,FALSE)),"",VLOOKUP(B253,planillanomina,24,FALSE))</f>
        <v>18000</v>
      </c>
      <c r="E260" s="138" t="str">
        <f t="shared" si="13"/>
        <v/>
      </c>
    </row>
    <row r="261" spans="1:5" ht="13.5" thickBot="1" x14ac:dyDescent="0.25">
      <c r="A261" s="143"/>
      <c r="B261" s="135"/>
      <c r="C261" s="144"/>
      <c r="D261" s="137"/>
      <c r="E261" s="138" t="str">
        <f t="shared" si="13"/>
        <v/>
      </c>
    </row>
    <row r="262" spans="1:5" ht="15.75" thickBot="1" x14ac:dyDescent="0.25">
      <c r="A262" s="145" t="s">
        <v>167</v>
      </c>
      <c r="B262" s="135">
        <f>IF(ISERROR(VLOOKUP(B253,planillanomina,19,FALSE)),"",VLOOKUP(B253,planillanomina,19,FALSE))</f>
        <v>1004000</v>
      </c>
      <c r="C262" s="146" t="s">
        <v>168</v>
      </c>
      <c r="D262" s="137">
        <f>IF(ISERROR(VLOOKUP(B253,planillanomina,25,FALSE)),"",VLOOKUP(B253,planillanomina,25,FALSE))</f>
        <v>192800</v>
      </c>
      <c r="E262" s="138" t="str">
        <f t="shared" si="13"/>
        <v/>
      </c>
    </row>
    <row r="263" spans="1:5" x14ac:dyDescent="0.2">
      <c r="A263" s="143"/>
      <c r="B263" s="147"/>
      <c r="C263" s="144"/>
      <c r="D263" s="144"/>
      <c r="E263" s="133"/>
    </row>
    <row r="264" spans="1:5" ht="13.5" thickBot="1" x14ac:dyDescent="0.25">
      <c r="A264" s="148"/>
      <c r="B264" s="149"/>
      <c r="C264" s="150"/>
      <c r="D264" s="150"/>
      <c r="E264" s="151"/>
    </row>
    <row r="265" spans="1:5" ht="18.75" thickBot="1" x14ac:dyDescent="0.3">
      <c r="B265" s="36"/>
      <c r="C265" s="37" t="s">
        <v>87</v>
      </c>
      <c r="D265" s="253">
        <f>IF(ISERROR(VLOOKUP(B253,planillanomina,26,FALSE)),"",VLOOKUP(B253,planillanomina,26,FALSE))</f>
        <v>811200</v>
      </c>
      <c r="E265" s="254" t="str">
        <f>IF(ISERROR(VLOOKUP(C256,planillanomina,25,FALSE)),"",VLOOKUP(C256,planillanomina,25,FALSE))</f>
        <v/>
      </c>
    </row>
    <row r="266" spans="1:5" ht="13.5" thickBot="1" x14ac:dyDescent="0.25"/>
    <row r="267" spans="1:5" x14ac:dyDescent="0.2">
      <c r="A267" s="255"/>
      <c r="B267" s="256"/>
      <c r="C267" s="256"/>
      <c r="D267" s="256"/>
      <c r="E267" s="257"/>
    </row>
    <row r="268" spans="1:5" ht="18" x14ac:dyDescent="0.25">
      <c r="A268" s="269" t="s">
        <v>153</v>
      </c>
      <c r="B268" s="270"/>
      <c r="C268" s="270"/>
      <c r="D268" s="270"/>
      <c r="E268" s="271"/>
    </row>
    <row r="269" spans="1:5" ht="18" x14ac:dyDescent="0.25">
      <c r="A269" s="272" t="s">
        <v>154</v>
      </c>
      <c r="B269" s="273"/>
      <c r="C269" s="273"/>
      <c r="D269" s="273"/>
      <c r="E269" s="274"/>
    </row>
    <row r="270" spans="1:5" ht="15" x14ac:dyDescent="0.2">
      <c r="A270" s="275" t="s">
        <v>174</v>
      </c>
      <c r="B270" s="276"/>
      <c r="C270" s="276"/>
      <c r="D270" s="276"/>
      <c r="E270" s="277"/>
    </row>
    <row r="271" spans="1:5" ht="13.5" thickBot="1" x14ac:dyDescent="0.25">
      <c r="A271" s="258"/>
      <c r="B271" s="259"/>
      <c r="C271" s="259"/>
      <c r="D271" s="259"/>
      <c r="E271" s="260"/>
    </row>
    <row r="272" spans="1:5" ht="15.75" thickBot="1" x14ac:dyDescent="0.25">
      <c r="A272" s="34" t="s">
        <v>155</v>
      </c>
      <c r="B272" s="261" t="s">
        <v>41</v>
      </c>
      <c r="C272" s="262"/>
      <c r="D272" s="262"/>
      <c r="E272" s="263"/>
    </row>
    <row r="273" spans="1:5" ht="15.75" thickBot="1" x14ac:dyDescent="0.25">
      <c r="A273" s="35" t="s">
        <v>156</v>
      </c>
      <c r="B273" s="266" t="str">
        <f>IF(ISBLANK(B272),"",IF(ISERROR(VLOOKUP(B272,planillanomina,2,FALSE)),"no existe",VLOOKUP(B272,planillanomina,2,FALSE)))</f>
        <v>Hernán Darío Hernández</v>
      </c>
      <c r="C273" s="267"/>
      <c r="D273" s="267"/>
      <c r="E273" s="268"/>
    </row>
    <row r="274" spans="1:5" ht="15.75" thickBot="1" x14ac:dyDescent="0.25">
      <c r="A274" s="278"/>
      <c r="B274" s="279"/>
      <c r="C274" s="279"/>
      <c r="D274" s="279"/>
      <c r="E274" s="133"/>
    </row>
    <row r="275" spans="1:5" ht="15.75" thickBot="1" x14ac:dyDescent="0.25">
      <c r="A275" s="134" t="s">
        <v>157</v>
      </c>
      <c r="B275" s="135">
        <f>IF(ISERROR(VLOOKUP(B272,planillanomina,6,FALSE)),"",VLOOKUP(B272,planillanomina,6,FALSE))</f>
        <v>620000</v>
      </c>
      <c r="C275" s="136" t="s">
        <v>158</v>
      </c>
      <c r="D275" s="137">
        <f>IF(ISERROR(VLOOKUP(B272,planillanomina,20,FALSE)),"",VLOOKUP(B272,planillanomina,20,FALSE))</f>
        <v>28400</v>
      </c>
      <c r="E275" s="138" t="str">
        <f>IF(ISERROR(VLOOKUP(#REF!,planillanomina,19,FALSE)),"",VLOOKUP(#REF!,planillanomina,19,FALSE))</f>
        <v/>
      </c>
    </row>
    <row r="276" spans="1:5" ht="15.75" thickBot="1" x14ac:dyDescent="0.25">
      <c r="A276" s="139" t="s">
        <v>159</v>
      </c>
      <c r="B276" s="135">
        <f>IF(ISERROR(VLOOKUP(B272,planillanomina,15,FALSE)),"",VLOOKUP(B272,planillanomina,15,FALSE))</f>
        <v>0</v>
      </c>
      <c r="C276" s="140" t="s">
        <v>160</v>
      </c>
      <c r="D276" s="137">
        <f>IF(ISERROR(VLOOKUP(B272,planillanomina,21,FALSE)),"",VLOOKUP(B272,planillanomina,21,FALSE))</f>
        <v>28400</v>
      </c>
      <c r="E276" s="138" t="str">
        <f t="shared" ref="E276:E281" si="14">IF(ISERROR(VLOOKUP(E267,planillanomina,19,FALSE)),"",VLOOKUP(E267,planillanomina,19,FALSE))</f>
        <v/>
      </c>
    </row>
    <row r="277" spans="1:5" ht="15.75" thickBot="1" x14ac:dyDescent="0.25">
      <c r="A277" s="141" t="s">
        <v>161</v>
      </c>
      <c r="B277" s="135">
        <f>IF(ISERROR(VLOOKUP(B272,planillanomina,16,FALSE)),"",VLOOKUP(B272,planillanomina,16,FALSE))</f>
        <v>74000</v>
      </c>
      <c r="C277" s="140" t="s">
        <v>162</v>
      </c>
      <c r="D277" s="137">
        <f>IF(ISERROR(VLOOKUP(B272,planillanomina,22,FALSE)),"",VLOOKUP(B272,planillanomina,22,FALSE))</f>
        <v>0</v>
      </c>
      <c r="E277" s="138" t="str">
        <f t="shared" si="14"/>
        <v/>
      </c>
    </row>
    <row r="278" spans="1:5" ht="15.75" thickBot="1" x14ac:dyDescent="0.25">
      <c r="A278" s="139" t="s">
        <v>163</v>
      </c>
      <c r="B278" s="135">
        <f>IF(ISERROR(VLOOKUP(B272,planillanomina,17,FALSE)),"",VLOOKUP(B272,planillanomina,17,FALSE))</f>
        <v>44999.999999999993</v>
      </c>
      <c r="C278" s="140" t="s">
        <v>164</v>
      </c>
      <c r="D278" s="137">
        <f>IF(ISERROR(VLOOKUP(B272,planillanomina,23,FALSE)),"",VLOOKUP(B272,planillanomina,23,FALSE))</f>
        <v>39200</v>
      </c>
      <c r="E278" s="138" t="str">
        <f t="shared" si="14"/>
        <v/>
      </c>
    </row>
    <row r="279" spans="1:5" ht="15.75" thickBot="1" x14ac:dyDescent="0.25">
      <c r="A279" s="139" t="s">
        <v>165</v>
      </c>
      <c r="B279" s="135">
        <f>IF(ISERROR(VLOOKUP(B272,planillanomina,18,FALSE)),"",VLOOKUP(B272,planillanomina,18,FALSE))</f>
        <v>44999.999999999993</v>
      </c>
      <c r="C279" s="142" t="s">
        <v>166</v>
      </c>
      <c r="D279" s="137">
        <f>IF(ISERROR(VLOOKUP(B272,planillanomina,24,FALSE)),"",VLOOKUP(B272,planillanomina,24,FALSE))</f>
        <v>3100</v>
      </c>
      <c r="E279" s="138" t="str">
        <f t="shared" si="14"/>
        <v/>
      </c>
    </row>
    <row r="280" spans="1:5" ht="13.5" thickBot="1" x14ac:dyDescent="0.25">
      <c r="A280" s="143"/>
      <c r="B280" s="135"/>
      <c r="C280" s="144"/>
      <c r="D280" s="137"/>
      <c r="E280" s="138" t="str">
        <f t="shared" si="14"/>
        <v/>
      </c>
    </row>
    <row r="281" spans="1:5" ht="15.75" thickBot="1" x14ac:dyDescent="0.25">
      <c r="A281" s="145" t="s">
        <v>167</v>
      </c>
      <c r="B281" s="135">
        <f>IF(ISERROR(VLOOKUP(B272,planillanomina,19,FALSE)),"",VLOOKUP(B272,planillanomina,19,FALSE))</f>
        <v>784000</v>
      </c>
      <c r="C281" s="146" t="s">
        <v>168</v>
      </c>
      <c r="D281" s="137">
        <f>IF(ISERROR(VLOOKUP(B272,planillanomina,25,FALSE)),"",VLOOKUP(B272,planillanomina,25,FALSE))</f>
        <v>99100</v>
      </c>
      <c r="E281" s="138" t="str">
        <f t="shared" si="14"/>
        <v/>
      </c>
    </row>
    <row r="282" spans="1:5" x14ac:dyDescent="0.2">
      <c r="A282" s="143"/>
      <c r="B282" s="147"/>
      <c r="C282" s="144"/>
      <c r="D282" s="144"/>
      <c r="E282" s="133"/>
    </row>
    <row r="283" spans="1:5" ht="13.5" thickBot="1" x14ac:dyDescent="0.25">
      <c r="A283" s="148"/>
      <c r="B283" s="149"/>
      <c r="C283" s="150"/>
      <c r="D283" s="150"/>
      <c r="E283" s="151"/>
    </row>
    <row r="284" spans="1:5" ht="18.75" thickBot="1" x14ac:dyDescent="0.3">
      <c r="B284" s="36"/>
      <c r="C284" s="37" t="s">
        <v>87</v>
      </c>
      <c r="D284" s="253">
        <f>IF(ISERROR(VLOOKUP(B272,planillanomina,26,FALSE)),"",VLOOKUP(B272,planillanomina,26,FALSE))</f>
        <v>684900</v>
      </c>
      <c r="E284" s="254" t="str">
        <f>IF(ISERROR(VLOOKUP(C275,planillanomina,25,FALSE)),"",VLOOKUP(C275,planillanomina,25,FALSE))</f>
        <v/>
      </c>
    </row>
    <row r="285" spans="1:5" ht="13.5" thickBot="1" x14ac:dyDescent="0.25"/>
    <row r="286" spans="1:5" x14ac:dyDescent="0.2">
      <c r="A286" s="255"/>
      <c r="B286" s="256"/>
      <c r="C286" s="256"/>
      <c r="D286" s="256"/>
      <c r="E286" s="257"/>
    </row>
    <row r="287" spans="1:5" ht="18" x14ac:dyDescent="0.25">
      <c r="A287" s="269" t="s">
        <v>153</v>
      </c>
      <c r="B287" s="270"/>
      <c r="C287" s="270"/>
      <c r="D287" s="270"/>
      <c r="E287" s="271"/>
    </row>
    <row r="288" spans="1:5" ht="18" x14ac:dyDescent="0.25">
      <c r="A288" s="272" t="s">
        <v>154</v>
      </c>
      <c r="B288" s="273"/>
      <c r="C288" s="273"/>
      <c r="D288" s="273"/>
      <c r="E288" s="274"/>
    </row>
    <row r="289" spans="1:5" ht="15" x14ac:dyDescent="0.2">
      <c r="A289" s="275" t="s">
        <v>174</v>
      </c>
      <c r="B289" s="276"/>
      <c r="C289" s="276"/>
      <c r="D289" s="276"/>
      <c r="E289" s="277"/>
    </row>
    <row r="290" spans="1:5" ht="13.5" thickBot="1" x14ac:dyDescent="0.25">
      <c r="A290" s="258"/>
      <c r="B290" s="259"/>
      <c r="C290" s="259"/>
      <c r="D290" s="259"/>
      <c r="E290" s="260"/>
    </row>
    <row r="291" spans="1:5" ht="15.75" thickBot="1" x14ac:dyDescent="0.25">
      <c r="A291" s="34" t="s">
        <v>155</v>
      </c>
      <c r="B291" s="261" t="s">
        <v>43</v>
      </c>
      <c r="C291" s="262"/>
      <c r="D291" s="262"/>
      <c r="E291" s="263"/>
    </row>
    <row r="292" spans="1:5" ht="15.75" thickBot="1" x14ac:dyDescent="0.25">
      <c r="A292" s="35" t="s">
        <v>156</v>
      </c>
      <c r="B292" s="266" t="str">
        <f>IF(ISBLANK(B291),"",IF(ISERROR(VLOOKUP(B291,planillanomina,2,FALSE)),"no existe",VLOOKUP(B291,planillanomina,2,FALSE)))</f>
        <v>Leidy Maritza Herrera</v>
      </c>
      <c r="C292" s="267"/>
      <c r="D292" s="267"/>
      <c r="E292" s="268"/>
    </row>
    <row r="293" spans="1:5" ht="15.75" thickBot="1" x14ac:dyDescent="0.25">
      <c r="A293" s="278"/>
      <c r="B293" s="279"/>
      <c r="C293" s="279"/>
      <c r="D293" s="279"/>
      <c r="E293" s="133"/>
    </row>
    <row r="294" spans="1:5" ht="15.75" thickBot="1" x14ac:dyDescent="0.25">
      <c r="A294" s="134" t="s">
        <v>157</v>
      </c>
      <c r="B294" s="135">
        <f>IF(ISERROR(VLOOKUP(B291,planillanomina,6,FALSE)),"",VLOOKUP(B291,planillanomina,6,FALSE))</f>
        <v>644350</v>
      </c>
      <c r="C294" s="136" t="s">
        <v>158</v>
      </c>
      <c r="D294" s="137">
        <f>IF(ISERROR(VLOOKUP(B291,planillanomina,20,FALSE)),"",VLOOKUP(B291,planillanomina,20,FALSE))</f>
        <v>29775.529166666667</v>
      </c>
      <c r="E294" s="138" t="str">
        <f>IF(ISERROR(VLOOKUP(#REF!,planillanomina,19,FALSE)),"",VLOOKUP(#REF!,planillanomina,19,FALSE))</f>
        <v/>
      </c>
    </row>
    <row r="295" spans="1:5" ht="15.75" thickBot="1" x14ac:dyDescent="0.25">
      <c r="A295" s="139" t="s">
        <v>159</v>
      </c>
      <c r="B295" s="135">
        <f>IF(ISERROR(VLOOKUP(B291,planillanomina,15,FALSE)),"",VLOOKUP(B291,planillanomina,15,FALSE))</f>
        <v>55038.229166666664</v>
      </c>
      <c r="C295" s="140" t="s">
        <v>160</v>
      </c>
      <c r="D295" s="137">
        <f>IF(ISERROR(VLOOKUP(B291,planillanomina,21,FALSE)),"",VLOOKUP(B291,planillanomina,21,FALSE))</f>
        <v>29775.529166666667</v>
      </c>
      <c r="E295" s="138" t="str">
        <f t="shared" ref="E295:E300" si="15">IF(ISERROR(VLOOKUP(E286,planillanomina,19,FALSE)),"",VLOOKUP(E286,planillanomina,19,FALSE))</f>
        <v/>
      </c>
    </row>
    <row r="296" spans="1:5" ht="15.75" thickBot="1" x14ac:dyDescent="0.25">
      <c r="A296" s="141" t="s">
        <v>161</v>
      </c>
      <c r="B296" s="135">
        <f>IF(ISERROR(VLOOKUP(B291,planillanomina,16,FALSE)),"",VLOOKUP(B291,planillanomina,16,FALSE))</f>
        <v>74000</v>
      </c>
      <c r="C296" s="140" t="s">
        <v>162</v>
      </c>
      <c r="D296" s="137">
        <f>IF(ISERROR(VLOOKUP(B291,planillanomina,22,FALSE)),"",VLOOKUP(B291,planillanomina,22,FALSE))</f>
        <v>0</v>
      </c>
      <c r="E296" s="138" t="str">
        <f t="shared" si="15"/>
        <v/>
      </c>
    </row>
    <row r="297" spans="1:5" ht="15.75" thickBot="1" x14ac:dyDescent="0.25">
      <c r="A297" s="139" t="s">
        <v>163</v>
      </c>
      <c r="B297" s="135">
        <f>IF(ISERROR(VLOOKUP(B291,planillanomina,17,FALSE)),"",VLOOKUP(B291,planillanomina,17,FALSE))</f>
        <v>0</v>
      </c>
      <c r="C297" s="140" t="s">
        <v>164</v>
      </c>
      <c r="D297" s="137">
        <f>IF(ISERROR(VLOOKUP(B291,planillanomina,23,FALSE)),"",VLOOKUP(B291,planillanomina,23,FALSE))</f>
        <v>40919.411458333336</v>
      </c>
      <c r="E297" s="138" t="str">
        <f t="shared" si="15"/>
        <v/>
      </c>
    </row>
    <row r="298" spans="1:5" ht="15.75" thickBot="1" x14ac:dyDescent="0.25">
      <c r="A298" s="139" t="s">
        <v>165</v>
      </c>
      <c r="B298" s="135">
        <f>IF(ISERROR(VLOOKUP(B291,planillanomina,18,FALSE)),"",VLOOKUP(B291,planillanomina,18,FALSE))</f>
        <v>44999.999999999993</v>
      </c>
      <c r="C298" s="142" t="s">
        <v>166</v>
      </c>
      <c r="D298" s="137">
        <f>IF(ISERROR(VLOOKUP(B291,planillanomina,24,FALSE)),"",VLOOKUP(B291,planillanomina,24,FALSE))</f>
        <v>3221.75</v>
      </c>
      <c r="E298" s="138" t="str">
        <f t="shared" si="15"/>
        <v/>
      </c>
    </row>
    <row r="299" spans="1:5" ht="13.5" thickBot="1" x14ac:dyDescent="0.25">
      <c r="A299" s="143"/>
      <c r="B299" s="135"/>
      <c r="C299" s="144"/>
      <c r="D299" s="137"/>
      <c r="E299" s="138" t="str">
        <f t="shared" si="15"/>
        <v/>
      </c>
    </row>
    <row r="300" spans="1:5" ht="15.75" thickBot="1" x14ac:dyDescent="0.25">
      <c r="A300" s="145" t="s">
        <v>167</v>
      </c>
      <c r="B300" s="135">
        <f>IF(ISERROR(VLOOKUP(B291,planillanomina,19,FALSE)),"",VLOOKUP(B291,planillanomina,19,FALSE))</f>
        <v>818388.22916666663</v>
      </c>
      <c r="C300" s="146" t="s">
        <v>168</v>
      </c>
      <c r="D300" s="137">
        <f>IF(ISERROR(VLOOKUP(B291,planillanomina,25,FALSE)),"",VLOOKUP(B291,planillanomina,25,FALSE))</f>
        <v>103692.21979166666</v>
      </c>
      <c r="E300" s="138" t="str">
        <f t="shared" si="15"/>
        <v/>
      </c>
    </row>
    <row r="301" spans="1:5" x14ac:dyDescent="0.2">
      <c r="A301" s="143"/>
      <c r="B301" s="147"/>
      <c r="C301" s="144"/>
      <c r="D301" s="144"/>
      <c r="E301" s="133"/>
    </row>
    <row r="302" spans="1:5" ht="13.5" thickBot="1" x14ac:dyDescent="0.25">
      <c r="A302" s="148"/>
      <c r="B302" s="149"/>
      <c r="C302" s="150"/>
      <c r="D302" s="150"/>
      <c r="E302" s="151"/>
    </row>
    <row r="303" spans="1:5" ht="18.75" thickBot="1" x14ac:dyDescent="0.3">
      <c r="B303" s="36"/>
      <c r="C303" s="37" t="s">
        <v>87</v>
      </c>
      <c r="D303" s="253">
        <f>IF(ISERROR(VLOOKUP(B291,planillanomina,26,FALSE)),"",VLOOKUP(B291,planillanomina,26,FALSE))</f>
        <v>714696.00937499991</v>
      </c>
      <c r="E303" s="254" t="str">
        <f>IF(ISERROR(VLOOKUP(C294,planillanomina,25,FALSE)),"",VLOOKUP(C294,planillanomina,25,FALSE))</f>
        <v/>
      </c>
    </row>
    <row r="304" spans="1:5" ht="13.5" thickBot="1" x14ac:dyDescent="0.25"/>
    <row r="305" spans="1:5" x14ac:dyDescent="0.2">
      <c r="A305" s="255"/>
      <c r="B305" s="256"/>
      <c r="C305" s="256"/>
      <c r="D305" s="256"/>
      <c r="E305" s="257"/>
    </row>
    <row r="306" spans="1:5" ht="18" x14ac:dyDescent="0.25">
      <c r="A306" s="269" t="s">
        <v>153</v>
      </c>
      <c r="B306" s="270"/>
      <c r="C306" s="270"/>
      <c r="D306" s="270"/>
      <c r="E306" s="271"/>
    </row>
    <row r="307" spans="1:5" ht="18" x14ac:dyDescent="0.25">
      <c r="A307" s="272" t="s">
        <v>154</v>
      </c>
      <c r="B307" s="273"/>
      <c r="C307" s="273"/>
      <c r="D307" s="273"/>
      <c r="E307" s="274"/>
    </row>
    <row r="308" spans="1:5" ht="15" x14ac:dyDescent="0.2">
      <c r="A308" s="275" t="s">
        <v>174</v>
      </c>
      <c r="B308" s="276"/>
      <c r="C308" s="276"/>
      <c r="D308" s="276"/>
      <c r="E308" s="277"/>
    </row>
    <row r="309" spans="1:5" ht="13.5" thickBot="1" x14ac:dyDescent="0.25">
      <c r="A309" s="258"/>
      <c r="B309" s="259"/>
      <c r="C309" s="259"/>
      <c r="D309" s="259"/>
      <c r="E309" s="260"/>
    </row>
    <row r="310" spans="1:5" ht="15.75" thickBot="1" x14ac:dyDescent="0.25">
      <c r="A310" s="34" t="s">
        <v>155</v>
      </c>
      <c r="B310" s="261" t="s">
        <v>45</v>
      </c>
      <c r="C310" s="262"/>
      <c r="D310" s="262"/>
      <c r="E310" s="263"/>
    </row>
    <row r="311" spans="1:5" ht="15.75" thickBot="1" x14ac:dyDescent="0.25">
      <c r="A311" s="35" t="s">
        <v>156</v>
      </c>
      <c r="B311" s="266" t="str">
        <f>IF(ISBLANK(B310),"",IF(ISERROR(VLOOKUP(B310,planillanomina,2,FALSE)),"no existe",VLOOKUP(B310,planillanomina,2,FALSE)))</f>
        <v>Leidy Rosalía Galvis</v>
      </c>
      <c r="C311" s="267"/>
      <c r="D311" s="267"/>
      <c r="E311" s="268"/>
    </row>
    <row r="312" spans="1:5" ht="15.75" thickBot="1" x14ac:dyDescent="0.25">
      <c r="A312" s="278"/>
      <c r="B312" s="279"/>
      <c r="C312" s="279"/>
      <c r="D312" s="279"/>
      <c r="E312" s="133"/>
    </row>
    <row r="313" spans="1:5" ht="15.75" thickBot="1" x14ac:dyDescent="0.25">
      <c r="A313" s="134" t="s">
        <v>157</v>
      </c>
      <c r="B313" s="135">
        <f>IF(ISERROR(VLOOKUP(B310,planillanomina,6,FALSE)),"",VLOOKUP(B310,planillanomina,6,FALSE))</f>
        <v>900000</v>
      </c>
      <c r="C313" s="136" t="s">
        <v>158</v>
      </c>
      <c r="D313" s="137">
        <f>IF(ISERROR(VLOOKUP(B310,planillanomina,20,FALSE)),"",VLOOKUP(B310,planillanomina,20,FALSE))</f>
        <v>37200</v>
      </c>
      <c r="E313" s="138" t="str">
        <f>IF(ISERROR(VLOOKUP(#REF!,planillanomina,19,FALSE)),"",VLOOKUP(#REF!,planillanomina,19,FALSE))</f>
        <v/>
      </c>
    </row>
    <row r="314" spans="1:5" ht="15.75" thickBot="1" x14ac:dyDescent="0.25">
      <c r="A314" s="139" t="s">
        <v>159</v>
      </c>
      <c r="B314" s="135">
        <f>IF(ISERROR(VLOOKUP(B310,planillanomina,15,FALSE)),"",VLOOKUP(B310,planillanomina,15,FALSE))</f>
        <v>0</v>
      </c>
      <c r="C314" s="140" t="s">
        <v>160</v>
      </c>
      <c r="D314" s="137">
        <f>IF(ISERROR(VLOOKUP(B310,planillanomina,21,FALSE)),"",VLOOKUP(B310,planillanomina,21,FALSE))</f>
        <v>37200</v>
      </c>
      <c r="E314" s="138" t="str">
        <f t="shared" ref="E314:E319" si="16">IF(ISERROR(VLOOKUP(E305,planillanomina,19,FALSE)),"",VLOOKUP(E305,planillanomina,19,FALSE))</f>
        <v/>
      </c>
    </row>
    <row r="315" spans="1:5" ht="15.75" thickBot="1" x14ac:dyDescent="0.25">
      <c r="A315" s="141" t="s">
        <v>161</v>
      </c>
      <c r="B315" s="135">
        <f>IF(ISERROR(VLOOKUP(B310,planillanomina,16,FALSE)),"",VLOOKUP(B310,planillanomina,16,FALSE))</f>
        <v>74000</v>
      </c>
      <c r="C315" s="140" t="s">
        <v>162</v>
      </c>
      <c r="D315" s="137">
        <f>IF(ISERROR(VLOOKUP(B310,planillanomina,22,FALSE)),"",VLOOKUP(B310,planillanomina,22,FALSE))</f>
        <v>0</v>
      </c>
      <c r="E315" s="138" t="str">
        <f t="shared" si="16"/>
        <v/>
      </c>
    </row>
    <row r="316" spans="1:5" ht="15.75" thickBot="1" x14ac:dyDescent="0.25">
      <c r="A316" s="139" t="s">
        <v>163</v>
      </c>
      <c r="B316" s="135">
        <f>IF(ISERROR(VLOOKUP(B310,planillanomina,17,FALSE)),"",VLOOKUP(B310,planillanomina,17,FALSE))</f>
        <v>0</v>
      </c>
      <c r="C316" s="140" t="s">
        <v>164</v>
      </c>
      <c r="D316" s="137">
        <f>IF(ISERROR(VLOOKUP(B310,planillanomina,23,FALSE)),"",VLOOKUP(B310,planillanomina,23,FALSE))</f>
        <v>100400</v>
      </c>
      <c r="E316" s="138" t="str">
        <f t="shared" si="16"/>
        <v/>
      </c>
    </row>
    <row r="317" spans="1:5" ht="15.75" thickBot="1" x14ac:dyDescent="0.25">
      <c r="A317" s="139" t="s">
        <v>165</v>
      </c>
      <c r="B317" s="135">
        <f>IF(ISERROR(VLOOKUP(B310,planillanomina,18,FALSE)),"",VLOOKUP(B310,planillanomina,18,FALSE))</f>
        <v>30000</v>
      </c>
      <c r="C317" s="142" t="s">
        <v>166</v>
      </c>
      <c r="D317" s="137">
        <f>IF(ISERROR(VLOOKUP(B310,planillanomina,24,FALSE)),"",VLOOKUP(B310,planillanomina,24,FALSE))</f>
        <v>18000</v>
      </c>
      <c r="E317" s="138" t="str">
        <f t="shared" si="16"/>
        <v/>
      </c>
    </row>
    <row r="318" spans="1:5" ht="13.5" thickBot="1" x14ac:dyDescent="0.25">
      <c r="A318" s="143"/>
      <c r="B318" s="135"/>
      <c r="C318" s="144"/>
      <c r="D318" s="137"/>
      <c r="E318" s="138" t="str">
        <f t="shared" si="16"/>
        <v/>
      </c>
    </row>
    <row r="319" spans="1:5" ht="15.75" thickBot="1" x14ac:dyDescent="0.25">
      <c r="A319" s="145" t="s">
        <v>167</v>
      </c>
      <c r="B319" s="135">
        <f>IF(ISERROR(VLOOKUP(B310,planillanomina,19,FALSE)),"",VLOOKUP(B310,planillanomina,19,FALSE))</f>
        <v>1004000</v>
      </c>
      <c r="C319" s="146" t="s">
        <v>168</v>
      </c>
      <c r="D319" s="137">
        <f>IF(ISERROR(VLOOKUP(B310,planillanomina,25,FALSE)),"",VLOOKUP(B310,planillanomina,25,FALSE))</f>
        <v>192800</v>
      </c>
      <c r="E319" s="138" t="str">
        <f t="shared" si="16"/>
        <v/>
      </c>
    </row>
    <row r="320" spans="1:5" x14ac:dyDescent="0.2">
      <c r="A320" s="143"/>
      <c r="B320" s="147"/>
      <c r="C320" s="144"/>
      <c r="D320" s="144"/>
      <c r="E320" s="133"/>
    </row>
    <row r="321" spans="1:5" ht="13.5" thickBot="1" x14ac:dyDescent="0.25">
      <c r="A321" s="148"/>
      <c r="B321" s="149"/>
      <c r="C321" s="150"/>
      <c r="D321" s="150"/>
      <c r="E321" s="151"/>
    </row>
    <row r="322" spans="1:5" ht="18.75" thickBot="1" x14ac:dyDescent="0.3">
      <c r="B322" s="36"/>
      <c r="C322" s="37" t="s">
        <v>87</v>
      </c>
      <c r="D322" s="253">
        <f>IF(ISERROR(VLOOKUP(B310,planillanomina,26,FALSE)),"",VLOOKUP(B310,planillanomina,26,FALSE))</f>
        <v>811200</v>
      </c>
      <c r="E322" s="254" t="str">
        <f>IF(ISERROR(VLOOKUP(C313,planillanomina,25,FALSE)),"",VLOOKUP(C313,planillanomina,25,FALSE))</f>
        <v/>
      </c>
    </row>
    <row r="323" spans="1:5" ht="13.5" thickBot="1" x14ac:dyDescent="0.25"/>
    <row r="324" spans="1:5" x14ac:dyDescent="0.2">
      <c r="A324" s="255"/>
      <c r="B324" s="256"/>
      <c r="C324" s="256"/>
      <c r="D324" s="256"/>
      <c r="E324" s="257"/>
    </row>
    <row r="325" spans="1:5" ht="18" x14ac:dyDescent="0.25">
      <c r="A325" s="269" t="s">
        <v>153</v>
      </c>
      <c r="B325" s="270"/>
      <c r="C325" s="270"/>
      <c r="D325" s="270"/>
      <c r="E325" s="271"/>
    </row>
    <row r="326" spans="1:5" ht="18" x14ac:dyDescent="0.25">
      <c r="A326" s="272" t="s">
        <v>154</v>
      </c>
      <c r="B326" s="273"/>
      <c r="C326" s="273"/>
      <c r="D326" s="273"/>
      <c r="E326" s="274"/>
    </row>
    <row r="327" spans="1:5" ht="15" x14ac:dyDescent="0.2">
      <c r="A327" s="275" t="s">
        <v>174</v>
      </c>
      <c r="B327" s="276"/>
      <c r="C327" s="276"/>
      <c r="D327" s="276"/>
      <c r="E327" s="277"/>
    </row>
    <row r="328" spans="1:5" ht="13.5" thickBot="1" x14ac:dyDescent="0.25">
      <c r="A328" s="258"/>
      <c r="B328" s="259"/>
      <c r="C328" s="259"/>
      <c r="D328" s="259"/>
      <c r="E328" s="260"/>
    </row>
    <row r="329" spans="1:5" ht="15.75" thickBot="1" x14ac:dyDescent="0.25">
      <c r="A329" s="34" t="s">
        <v>155</v>
      </c>
      <c r="B329" s="261" t="s">
        <v>47</v>
      </c>
      <c r="C329" s="262"/>
      <c r="D329" s="262"/>
      <c r="E329" s="263"/>
    </row>
    <row r="330" spans="1:5" ht="15.75" thickBot="1" x14ac:dyDescent="0.25">
      <c r="A330" s="35" t="s">
        <v>156</v>
      </c>
      <c r="B330" s="266" t="str">
        <f>IF(ISBLANK(B329),"",IF(ISERROR(VLOOKUP(B329,planillanomina,2,FALSE)),"no existe",VLOOKUP(B329,planillanomina,2,FALSE)))</f>
        <v>Luis Fernando Vanegas</v>
      </c>
      <c r="C330" s="267"/>
      <c r="D330" s="267"/>
      <c r="E330" s="268"/>
    </row>
    <row r="331" spans="1:5" ht="15.75" thickBot="1" x14ac:dyDescent="0.25">
      <c r="A331" s="278"/>
      <c r="B331" s="279"/>
      <c r="C331" s="279"/>
      <c r="D331" s="279"/>
      <c r="E331" s="133"/>
    </row>
    <row r="332" spans="1:5" ht="15.75" thickBot="1" x14ac:dyDescent="0.25">
      <c r="A332" s="134" t="s">
        <v>157</v>
      </c>
      <c r="B332" s="135">
        <f>IF(ISERROR(VLOOKUP(B329,planillanomina,6,FALSE)),"",VLOOKUP(B329,planillanomina,6,FALSE))</f>
        <v>700000</v>
      </c>
      <c r="C332" s="136" t="s">
        <v>158</v>
      </c>
      <c r="D332" s="137">
        <f>IF(ISERROR(VLOOKUP(B329,planillanomina,20,FALSE)),"",VLOOKUP(B329,planillanomina,20,FALSE))</f>
        <v>29200</v>
      </c>
      <c r="E332" s="138" t="str">
        <f>IF(ISERROR(VLOOKUP(#REF!,planillanomina,19,FALSE)),"",VLOOKUP(#REF!,planillanomina,19,FALSE))</f>
        <v/>
      </c>
    </row>
    <row r="333" spans="1:5" ht="15.75" thickBot="1" x14ac:dyDescent="0.25">
      <c r="A333" s="139" t="s">
        <v>159</v>
      </c>
      <c r="B333" s="135">
        <f>IF(ISERROR(VLOOKUP(B329,planillanomina,15,FALSE)),"",VLOOKUP(B329,planillanomina,15,FALSE))</f>
        <v>0</v>
      </c>
      <c r="C333" s="140" t="s">
        <v>160</v>
      </c>
      <c r="D333" s="137">
        <f>IF(ISERROR(VLOOKUP(B329,planillanomina,21,FALSE)),"",VLOOKUP(B329,planillanomina,21,FALSE))</f>
        <v>29200</v>
      </c>
      <c r="E333" s="138" t="str">
        <f t="shared" ref="E333:E338" si="17">IF(ISERROR(VLOOKUP(E324,planillanomina,19,FALSE)),"",VLOOKUP(E324,planillanomina,19,FALSE))</f>
        <v/>
      </c>
    </row>
    <row r="334" spans="1:5" ht="15.75" thickBot="1" x14ac:dyDescent="0.25">
      <c r="A334" s="141" t="s">
        <v>161</v>
      </c>
      <c r="B334" s="135">
        <f>IF(ISERROR(VLOOKUP(B329,planillanomina,16,FALSE)),"",VLOOKUP(B329,planillanomina,16,FALSE))</f>
        <v>74000</v>
      </c>
      <c r="C334" s="140" t="s">
        <v>162</v>
      </c>
      <c r="D334" s="137">
        <f>IF(ISERROR(VLOOKUP(B329,planillanomina,22,FALSE)),"",VLOOKUP(B329,planillanomina,22,FALSE))</f>
        <v>0</v>
      </c>
      <c r="E334" s="138" t="str">
        <f t="shared" si="17"/>
        <v/>
      </c>
    </row>
    <row r="335" spans="1:5" ht="15.75" thickBot="1" x14ac:dyDescent="0.25">
      <c r="A335" s="139" t="s">
        <v>163</v>
      </c>
      <c r="B335" s="135">
        <f>IF(ISERROR(VLOOKUP(B329,planillanomina,17,FALSE)),"",VLOOKUP(B329,planillanomina,17,FALSE))</f>
        <v>0</v>
      </c>
      <c r="C335" s="140" t="s">
        <v>164</v>
      </c>
      <c r="D335" s="137">
        <f>IF(ISERROR(VLOOKUP(B329,planillanomina,23,FALSE)),"",VLOOKUP(B329,planillanomina,23,FALSE))</f>
        <v>40200</v>
      </c>
      <c r="E335" s="138" t="str">
        <f t="shared" si="17"/>
        <v/>
      </c>
    </row>
    <row r="336" spans="1:5" ht="15.75" thickBot="1" x14ac:dyDescent="0.25">
      <c r="A336" s="139" t="s">
        <v>165</v>
      </c>
      <c r="B336" s="135">
        <f>IF(ISERROR(VLOOKUP(B329,planillanomina,18,FALSE)),"",VLOOKUP(B329,planillanomina,18,FALSE))</f>
        <v>30000</v>
      </c>
      <c r="C336" s="142" t="s">
        <v>166</v>
      </c>
      <c r="D336" s="137">
        <f>IF(ISERROR(VLOOKUP(B329,planillanomina,24,FALSE)),"",VLOOKUP(B329,planillanomina,24,FALSE))</f>
        <v>3500</v>
      </c>
      <c r="E336" s="138" t="str">
        <f t="shared" si="17"/>
        <v/>
      </c>
    </row>
    <row r="337" spans="1:5" ht="13.5" thickBot="1" x14ac:dyDescent="0.25">
      <c r="A337" s="143"/>
      <c r="B337" s="135"/>
      <c r="C337" s="144"/>
      <c r="D337" s="137"/>
      <c r="E337" s="138" t="str">
        <f t="shared" si="17"/>
        <v/>
      </c>
    </row>
    <row r="338" spans="1:5" ht="15.75" thickBot="1" x14ac:dyDescent="0.25">
      <c r="A338" s="145" t="s">
        <v>167</v>
      </c>
      <c r="B338" s="135">
        <f>IF(ISERROR(VLOOKUP(B329,planillanomina,19,FALSE)),"",VLOOKUP(B329,planillanomina,19,FALSE))</f>
        <v>804000</v>
      </c>
      <c r="C338" s="146" t="s">
        <v>168</v>
      </c>
      <c r="D338" s="137">
        <f>IF(ISERROR(VLOOKUP(B329,planillanomina,25,FALSE)),"",VLOOKUP(B329,planillanomina,25,FALSE))</f>
        <v>102100</v>
      </c>
      <c r="E338" s="138" t="str">
        <f t="shared" si="17"/>
        <v/>
      </c>
    </row>
    <row r="339" spans="1:5" x14ac:dyDescent="0.2">
      <c r="A339" s="143"/>
      <c r="B339" s="147"/>
      <c r="C339" s="144"/>
      <c r="D339" s="144"/>
      <c r="E339" s="133"/>
    </row>
    <row r="340" spans="1:5" ht="13.5" thickBot="1" x14ac:dyDescent="0.25">
      <c r="A340" s="148"/>
      <c r="B340" s="149"/>
      <c r="C340" s="150"/>
      <c r="D340" s="150"/>
      <c r="E340" s="151"/>
    </row>
    <row r="341" spans="1:5" ht="18.75" thickBot="1" x14ac:dyDescent="0.3">
      <c r="B341" s="36"/>
      <c r="C341" s="37" t="s">
        <v>87</v>
      </c>
      <c r="D341" s="253">
        <f>IF(ISERROR(VLOOKUP(B329,planillanomina,26,FALSE)),"",VLOOKUP(B329,planillanomina,26,FALSE))</f>
        <v>701900</v>
      </c>
      <c r="E341" s="254" t="str">
        <f>IF(ISERROR(VLOOKUP(C332,planillanomina,25,FALSE)),"",VLOOKUP(C332,planillanomina,25,FALSE))</f>
        <v/>
      </c>
    </row>
    <row r="342" spans="1:5" ht="13.5" thickBot="1" x14ac:dyDescent="0.25"/>
    <row r="343" spans="1:5" x14ac:dyDescent="0.2">
      <c r="A343" s="255"/>
      <c r="B343" s="256"/>
      <c r="C343" s="256"/>
      <c r="D343" s="256"/>
      <c r="E343" s="257"/>
    </row>
    <row r="344" spans="1:5" ht="18" x14ac:dyDescent="0.25">
      <c r="A344" s="269" t="s">
        <v>153</v>
      </c>
      <c r="B344" s="270"/>
      <c r="C344" s="270"/>
      <c r="D344" s="270"/>
      <c r="E344" s="271"/>
    </row>
    <row r="345" spans="1:5" ht="18" x14ac:dyDescent="0.25">
      <c r="A345" s="272" t="s">
        <v>154</v>
      </c>
      <c r="B345" s="273"/>
      <c r="C345" s="273"/>
      <c r="D345" s="273"/>
      <c r="E345" s="274"/>
    </row>
    <row r="346" spans="1:5" ht="15" x14ac:dyDescent="0.2">
      <c r="A346" s="275" t="s">
        <v>174</v>
      </c>
      <c r="B346" s="276"/>
      <c r="C346" s="276"/>
      <c r="D346" s="276"/>
      <c r="E346" s="277"/>
    </row>
    <row r="347" spans="1:5" ht="13.5" thickBot="1" x14ac:dyDescent="0.25">
      <c r="A347" s="258"/>
      <c r="B347" s="259"/>
      <c r="C347" s="259"/>
      <c r="D347" s="259"/>
      <c r="E347" s="260"/>
    </row>
    <row r="348" spans="1:5" ht="15.75" thickBot="1" x14ac:dyDescent="0.25">
      <c r="A348" s="34" t="s">
        <v>155</v>
      </c>
      <c r="B348" s="261" t="s">
        <v>49</v>
      </c>
      <c r="C348" s="262"/>
      <c r="D348" s="262"/>
      <c r="E348" s="263"/>
    </row>
    <row r="349" spans="1:5" ht="15.75" thickBot="1" x14ac:dyDescent="0.25">
      <c r="A349" s="35" t="s">
        <v>156</v>
      </c>
      <c r="B349" s="266" t="str">
        <f>IF(ISBLANK(B348),"",IF(ISERROR(VLOOKUP(B348,planillanomina,2,FALSE)),"no existe",VLOOKUP(B348,planillanomina,2,FALSE)))</f>
        <v>Liliana Ríos</v>
      </c>
      <c r="C349" s="267"/>
      <c r="D349" s="267"/>
      <c r="E349" s="268"/>
    </row>
    <row r="350" spans="1:5" ht="15.75" thickBot="1" x14ac:dyDescent="0.25">
      <c r="A350" s="278"/>
      <c r="B350" s="279"/>
      <c r="C350" s="279"/>
      <c r="D350" s="279"/>
      <c r="E350" s="133"/>
    </row>
    <row r="351" spans="1:5" ht="15.75" thickBot="1" x14ac:dyDescent="0.25">
      <c r="A351" s="134" t="s">
        <v>157</v>
      </c>
      <c r="B351" s="135">
        <f>IF(ISERROR(VLOOKUP(B348,planillanomina,6,FALSE)),"",VLOOKUP(B348,planillanomina,6,FALSE))</f>
        <v>620000</v>
      </c>
      <c r="C351" s="136" t="s">
        <v>158</v>
      </c>
      <c r="D351" s="137">
        <f>IF(ISERROR(VLOOKUP(B348,planillanomina,20,FALSE)),"",VLOOKUP(B348,planillanomina,20,FALSE))</f>
        <v>28400</v>
      </c>
      <c r="E351" s="138" t="str">
        <f>IF(ISERROR(VLOOKUP(#REF!,planillanomina,19,FALSE)),"",VLOOKUP(#REF!,planillanomina,19,FALSE))</f>
        <v/>
      </c>
    </row>
    <row r="352" spans="1:5" ht="15.75" thickBot="1" x14ac:dyDescent="0.25">
      <c r="A352" s="139" t="s">
        <v>159</v>
      </c>
      <c r="B352" s="135">
        <f>IF(ISERROR(VLOOKUP(B348,planillanomina,15,FALSE)),"",VLOOKUP(B348,planillanomina,15,FALSE))</f>
        <v>0</v>
      </c>
      <c r="C352" s="140" t="s">
        <v>160</v>
      </c>
      <c r="D352" s="137">
        <f>IF(ISERROR(VLOOKUP(B348,planillanomina,21,FALSE)),"",VLOOKUP(B348,planillanomina,21,FALSE))</f>
        <v>28400</v>
      </c>
      <c r="E352" s="138" t="str">
        <f t="shared" ref="E352:E357" si="18">IF(ISERROR(VLOOKUP(E343,planillanomina,19,FALSE)),"",VLOOKUP(E343,planillanomina,19,FALSE))</f>
        <v/>
      </c>
    </row>
    <row r="353" spans="1:5" ht="15.75" thickBot="1" x14ac:dyDescent="0.25">
      <c r="A353" s="141" t="s">
        <v>161</v>
      </c>
      <c r="B353" s="135">
        <f>IF(ISERROR(VLOOKUP(B348,planillanomina,16,FALSE)),"",VLOOKUP(B348,planillanomina,16,FALSE))</f>
        <v>74000</v>
      </c>
      <c r="C353" s="140" t="s">
        <v>162</v>
      </c>
      <c r="D353" s="137">
        <f>IF(ISERROR(VLOOKUP(B348,planillanomina,22,FALSE)),"",VLOOKUP(B348,planillanomina,22,FALSE))</f>
        <v>0</v>
      </c>
      <c r="E353" s="138" t="str">
        <f t="shared" si="18"/>
        <v/>
      </c>
    </row>
    <row r="354" spans="1:5" ht="15.75" thickBot="1" x14ac:dyDescent="0.25">
      <c r="A354" s="139" t="s">
        <v>163</v>
      </c>
      <c r="B354" s="135">
        <f>IF(ISERROR(VLOOKUP(B348,planillanomina,17,FALSE)),"",VLOOKUP(B348,planillanomina,17,FALSE))</f>
        <v>44999.999999999993</v>
      </c>
      <c r="C354" s="140" t="s">
        <v>164</v>
      </c>
      <c r="D354" s="137">
        <f>IF(ISERROR(VLOOKUP(B348,planillanomina,23,FALSE)),"",VLOOKUP(B348,planillanomina,23,FALSE))</f>
        <v>39200</v>
      </c>
      <c r="E354" s="138" t="str">
        <f t="shared" si="18"/>
        <v/>
      </c>
    </row>
    <row r="355" spans="1:5" ht="15.75" thickBot="1" x14ac:dyDescent="0.25">
      <c r="A355" s="139" t="s">
        <v>165</v>
      </c>
      <c r="B355" s="135">
        <f>IF(ISERROR(VLOOKUP(B348,planillanomina,18,FALSE)),"",VLOOKUP(B348,planillanomina,18,FALSE))</f>
        <v>44999.999999999993</v>
      </c>
      <c r="C355" s="142" t="s">
        <v>166</v>
      </c>
      <c r="D355" s="137">
        <f>IF(ISERROR(VLOOKUP(B348,planillanomina,24,FALSE)),"",VLOOKUP(B348,planillanomina,24,FALSE))</f>
        <v>3100</v>
      </c>
      <c r="E355" s="138" t="str">
        <f t="shared" si="18"/>
        <v/>
      </c>
    </row>
    <row r="356" spans="1:5" ht="13.5" thickBot="1" x14ac:dyDescent="0.25">
      <c r="A356" s="143"/>
      <c r="B356" s="135"/>
      <c r="C356" s="144"/>
      <c r="D356" s="137"/>
      <c r="E356" s="138" t="str">
        <f t="shared" si="18"/>
        <v/>
      </c>
    </row>
    <row r="357" spans="1:5" ht="15.75" thickBot="1" x14ac:dyDescent="0.25">
      <c r="A357" s="145" t="s">
        <v>167</v>
      </c>
      <c r="B357" s="135">
        <f>IF(ISERROR(VLOOKUP(B348,planillanomina,19,FALSE)),"",VLOOKUP(B348,planillanomina,19,FALSE))</f>
        <v>784000</v>
      </c>
      <c r="C357" s="146" t="s">
        <v>168</v>
      </c>
      <c r="D357" s="137">
        <f>IF(ISERROR(VLOOKUP(B348,planillanomina,25,FALSE)),"",VLOOKUP(B348,planillanomina,25,FALSE))</f>
        <v>99100</v>
      </c>
      <c r="E357" s="138" t="str">
        <f t="shared" si="18"/>
        <v/>
      </c>
    </row>
    <row r="358" spans="1:5" x14ac:dyDescent="0.2">
      <c r="A358" s="143"/>
      <c r="B358" s="147"/>
      <c r="C358" s="144"/>
      <c r="D358" s="144"/>
      <c r="E358" s="133"/>
    </row>
    <row r="359" spans="1:5" ht="13.5" thickBot="1" x14ac:dyDescent="0.25">
      <c r="A359" s="148"/>
      <c r="B359" s="149"/>
      <c r="C359" s="150"/>
      <c r="D359" s="150"/>
      <c r="E359" s="151"/>
    </row>
    <row r="360" spans="1:5" ht="18.75" thickBot="1" x14ac:dyDescent="0.3">
      <c r="B360" s="36"/>
      <c r="C360" s="37" t="s">
        <v>87</v>
      </c>
      <c r="D360" s="253">
        <f>IF(ISERROR(VLOOKUP(B348,planillanomina,26,FALSE)),"",VLOOKUP(B348,planillanomina,26,FALSE))</f>
        <v>684900</v>
      </c>
      <c r="E360" s="254" t="str">
        <f>IF(ISERROR(VLOOKUP(C351,planillanomina,25,FALSE)),"",VLOOKUP(C351,planillanomina,25,FALSE))</f>
        <v/>
      </c>
    </row>
    <row r="361" spans="1:5" ht="13.5" thickBot="1" x14ac:dyDescent="0.25"/>
    <row r="362" spans="1:5" x14ac:dyDescent="0.2">
      <c r="A362" s="255"/>
      <c r="B362" s="256"/>
      <c r="C362" s="256"/>
      <c r="D362" s="256"/>
      <c r="E362" s="257"/>
    </row>
    <row r="363" spans="1:5" ht="18" x14ac:dyDescent="0.25">
      <c r="A363" s="269" t="s">
        <v>153</v>
      </c>
      <c r="B363" s="270"/>
      <c r="C363" s="270"/>
      <c r="D363" s="270"/>
      <c r="E363" s="271"/>
    </row>
    <row r="364" spans="1:5" ht="18" x14ac:dyDescent="0.25">
      <c r="A364" s="272" t="s">
        <v>154</v>
      </c>
      <c r="B364" s="273"/>
      <c r="C364" s="273"/>
      <c r="D364" s="273"/>
      <c r="E364" s="274"/>
    </row>
    <row r="365" spans="1:5" ht="15" x14ac:dyDescent="0.2">
      <c r="A365" s="275" t="s">
        <v>174</v>
      </c>
      <c r="B365" s="276"/>
      <c r="C365" s="276"/>
      <c r="D365" s="276"/>
      <c r="E365" s="277"/>
    </row>
    <row r="366" spans="1:5" ht="13.5" thickBot="1" x14ac:dyDescent="0.25">
      <c r="A366" s="258"/>
      <c r="B366" s="259"/>
      <c r="C366" s="259"/>
      <c r="D366" s="259"/>
      <c r="E366" s="260"/>
    </row>
    <row r="367" spans="1:5" ht="15.75" thickBot="1" x14ac:dyDescent="0.25">
      <c r="A367" s="34" t="s">
        <v>155</v>
      </c>
      <c r="B367" s="261" t="s">
        <v>51</v>
      </c>
      <c r="C367" s="262"/>
      <c r="D367" s="262"/>
      <c r="E367" s="263"/>
    </row>
    <row r="368" spans="1:5" ht="15.75" thickBot="1" x14ac:dyDescent="0.25">
      <c r="A368" s="35" t="s">
        <v>156</v>
      </c>
      <c r="B368" s="266" t="str">
        <f>IF(ISBLANK(B367),"",IF(ISERROR(VLOOKUP(B367,planillanomina,2,FALSE)),"no existe",VLOOKUP(B367,planillanomina,2,FALSE)))</f>
        <v>Luz Enith Betancur</v>
      </c>
      <c r="C368" s="267"/>
      <c r="D368" s="267"/>
      <c r="E368" s="268"/>
    </row>
    <row r="369" spans="1:5" ht="15.75" thickBot="1" x14ac:dyDescent="0.25">
      <c r="A369" s="278"/>
      <c r="B369" s="279"/>
      <c r="C369" s="279"/>
      <c r="D369" s="279"/>
      <c r="E369" s="133"/>
    </row>
    <row r="370" spans="1:5" ht="15.75" thickBot="1" x14ac:dyDescent="0.25">
      <c r="A370" s="134" t="s">
        <v>157</v>
      </c>
      <c r="B370" s="135">
        <f>IF(ISERROR(VLOOKUP(B367,planillanomina,6,FALSE)),"",VLOOKUP(B367,planillanomina,6,FALSE))</f>
        <v>900000</v>
      </c>
      <c r="C370" s="136" t="s">
        <v>158</v>
      </c>
      <c r="D370" s="137">
        <f>IF(ISERROR(VLOOKUP(B367,planillanomina,20,FALSE)),"",VLOOKUP(B367,planillanomina,20,FALSE))</f>
        <v>37200</v>
      </c>
      <c r="E370" s="138" t="str">
        <f>IF(ISERROR(VLOOKUP(#REF!,planillanomina,19,FALSE)),"",VLOOKUP(#REF!,planillanomina,19,FALSE))</f>
        <v/>
      </c>
    </row>
    <row r="371" spans="1:5" ht="15.75" thickBot="1" x14ac:dyDescent="0.25">
      <c r="A371" s="139" t="s">
        <v>159</v>
      </c>
      <c r="B371" s="135">
        <f>IF(ISERROR(VLOOKUP(B367,planillanomina,15,FALSE)),"",VLOOKUP(B367,planillanomina,15,FALSE))</f>
        <v>0</v>
      </c>
      <c r="C371" s="140" t="s">
        <v>160</v>
      </c>
      <c r="D371" s="137">
        <f>IF(ISERROR(VLOOKUP(B367,planillanomina,21,FALSE)),"",VLOOKUP(B367,planillanomina,21,FALSE))</f>
        <v>37200</v>
      </c>
      <c r="E371" s="138" t="str">
        <f t="shared" ref="E371:E376" si="19">IF(ISERROR(VLOOKUP(E362,planillanomina,19,FALSE)),"",VLOOKUP(E362,planillanomina,19,FALSE))</f>
        <v/>
      </c>
    </row>
    <row r="372" spans="1:5" ht="15.75" thickBot="1" x14ac:dyDescent="0.25">
      <c r="A372" s="141" t="s">
        <v>161</v>
      </c>
      <c r="B372" s="135">
        <f>IF(ISERROR(VLOOKUP(B367,planillanomina,16,FALSE)),"",VLOOKUP(B367,planillanomina,16,FALSE))</f>
        <v>74000</v>
      </c>
      <c r="C372" s="140" t="s">
        <v>162</v>
      </c>
      <c r="D372" s="137">
        <f>IF(ISERROR(VLOOKUP(B367,planillanomina,22,FALSE)),"",VLOOKUP(B367,planillanomina,22,FALSE))</f>
        <v>0</v>
      </c>
      <c r="E372" s="138" t="str">
        <f t="shared" si="19"/>
        <v/>
      </c>
    </row>
    <row r="373" spans="1:5" ht="15.75" thickBot="1" x14ac:dyDescent="0.25">
      <c r="A373" s="139" t="s">
        <v>163</v>
      </c>
      <c r="B373" s="135">
        <f>IF(ISERROR(VLOOKUP(B367,planillanomina,17,FALSE)),"",VLOOKUP(B367,planillanomina,17,FALSE))</f>
        <v>0</v>
      </c>
      <c r="C373" s="140" t="s">
        <v>164</v>
      </c>
      <c r="D373" s="137">
        <f>IF(ISERROR(VLOOKUP(B367,planillanomina,23,FALSE)),"",VLOOKUP(B367,planillanomina,23,FALSE))</f>
        <v>100400</v>
      </c>
      <c r="E373" s="138" t="str">
        <f t="shared" si="19"/>
        <v/>
      </c>
    </row>
    <row r="374" spans="1:5" ht="15.75" thickBot="1" x14ac:dyDescent="0.25">
      <c r="A374" s="139" t="s">
        <v>165</v>
      </c>
      <c r="B374" s="135">
        <f>IF(ISERROR(VLOOKUP(B367,planillanomina,18,FALSE)),"",VLOOKUP(B367,planillanomina,18,FALSE))</f>
        <v>30000</v>
      </c>
      <c r="C374" s="142" t="s">
        <v>166</v>
      </c>
      <c r="D374" s="137">
        <f>IF(ISERROR(VLOOKUP(B367,planillanomina,24,FALSE)),"",VLOOKUP(B367,planillanomina,24,FALSE))</f>
        <v>18000</v>
      </c>
      <c r="E374" s="138" t="str">
        <f t="shared" si="19"/>
        <v/>
      </c>
    </row>
    <row r="375" spans="1:5" ht="13.5" thickBot="1" x14ac:dyDescent="0.25">
      <c r="A375" s="143"/>
      <c r="B375" s="135"/>
      <c r="C375" s="144"/>
      <c r="D375" s="137"/>
      <c r="E375" s="138" t="str">
        <f t="shared" si="19"/>
        <v/>
      </c>
    </row>
    <row r="376" spans="1:5" ht="15.75" thickBot="1" x14ac:dyDescent="0.25">
      <c r="A376" s="145" t="s">
        <v>167</v>
      </c>
      <c r="B376" s="135">
        <f>IF(ISERROR(VLOOKUP(B367,planillanomina,19,FALSE)),"",VLOOKUP(B367,planillanomina,19,FALSE))</f>
        <v>1004000</v>
      </c>
      <c r="C376" s="146" t="s">
        <v>168</v>
      </c>
      <c r="D376" s="137">
        <f>IF(ISERROR(VLOOKUP(B367,planillanomina,25,FALSE)),"",VLOOKUP(B367,planillanomina,25,FALSE))</f>
        <v>192800</v>
      </c>
      <c r="E376" s="138" t="str">
        <f t="shared" si="19"/>
        <v/>
      </c>
    </row>
    <row r="377" spans="1:5" x14ac:dyDescent="0.2">
      <c r="A377" s="143"/>
      <c r="B377" s="147"/>
      <c r="C377" s="144"/>
      <c r="D377" s="144"/>
      <c r="E377" s="133"/>
    </row>
    <row r="378" spans="1:5" ht="13.5" thickBot="1" x14ac:dyDescent="0.25">
      <c r="A378" s="148"/>
      <c r="B378" s="149"/>
      <c r="C378" s="150"/>
      <c r="D378" s="150"/>
      <c r="E378" s="151"/>
    </row>
    <row r="379" spans="1:5" ht="18.75" thickBot="1" x14ac:dyDescent="0.3">
      <c r="B379" s="36"/>
      <c r="C379" s="37" t="s">
        <v>87</v>
      </c>
      <c r="D379" s="253">
        <f>IF(ISERROR(VLOOKUP(B367,planillanomina,26,FALSE)),"",VLOOKUP(B367,planillanomina,26,FALSE))</f>
        <v>811200</v>
      </c>
      <c r="E379" s="254" t="str">
        <f>IF(ISERROR(VLOOKUP(C370,planillanomina,25,FALSE)),"",VLOOKUP(C370,planillanomina,25,FALSE))</f>
        <v/>
      </c>
    </row>
    <row r="380" spans="1:5" ht="13.5" thickBot="1" x14ac:dyDescent="0.25"/>
    <row r="381" spans="1:5" x14ac:dyDescent="0.2">
      <c r="A381" s="255"/>
      <c r="B381" s="256"/>
      <c r="C381" s="256"/>
      <c r="D381" s="256"/>
      <c r="E381" s="257"/>
    </row>
    <row r="382" spans="1:5" ht="18" x14ac:dyDescent="0.25">
      <c r="A382" s="269" t="s">
        <v>153</v>
      </c>
      <c r="B382" s="270"/>
      <c r="C382" s="270"/>
      <c r="D382" s="270"/>
      <c r="E382" s="271"/>
    </row>
    <row r="383" spans="1:5" ht="18" x14ac:dyDescent="0.25">
      <c r="A383" s="272" t="s">
        <v>154</v>
      </c>
      <c r="B383" s="273"/>
      <c r="C383" s="273"/>
      <c r="D383" s="273"/>
      <c r="E383" s="274"/>
    </row>
    <row r="384" spans="1:5" ht="15" x14ac:dyDescent="0.2">
      <c r="A384" s="275" t="s">
        <v>174</v>
      </c>
      <c r="B384" s="276"/>
      <c r="C384" s="276"/>
      <c r="D384" s="276"/>
      <c r="E384" s="277"/>
    </row>
    <row r="385" spans="1:5" ht="13.5" thickBot="1" x14ac:dyDescent="0.25">
      <c r="A385" s="258"/>
      <c r="B385" s="259"/>
      <c r="C385" s="259"/>
      <c r="D385" s="259"/>
      <c r="E385" s="260"/>
    </row>
    <row r="386" spans="1:5" ht="15.75" thickBot="1" x14ac:dyDescent="0.25">
      <c r="A386" s="34" t="s">
        <v>155</v>
      </c>
      <c r="B386" s="261" t="s">
        <v>53</v>
      </c>
      <c r="C386" s="262"/>
      <c r="D386" s="262"/>
      <c r="E386" s="263"/>
    </row>
    <row r="387" spans="1:5" ht="15.75" thickBot="1" x14ac:dyDescent="0.25">
      <c r="A387" s="35" t="s">
        <v>156</v>
      </c>
      <c r="B387" s="266" t="str">
        <f>IF(ISBLANK(B386),"",IF(ISERROR(VLOOKUP(B386,planillanomina,2,FALSE)),"no existe",VLOOKUP(B386,planillanomina,2,FALSE)))</f>
        <v>Maricela López</v>
      </c>
      <c r="C387" s="267"/>
      <c r="D387" s="267"/>
      <c r="E387" s="268"/>
    </row>
    <row r="388" spans="1:5" ht="15.75" thickBot="1" x14ac:dyDescent="0.25">
      <c r="A388" s="278"/>
      <c r="B388" s="279"/>
      <c r="C388" s="279"/>
      <c r="D388" s="279"/>
      <c r="E388" s="133"/>
    </row>
    <row r="389" spans="1:5" ht="15.75" thickBot="1" x14ac:dyDescent="0.25">
      <c r="A389" s="134" t="s">
        <v>157</v>
      </c>
      <c r="B389" s="135">
        <f>IF(ISERROR(VLOOKUP(B386,planillanomina,6,FALSE)),"",VLOOKUP(B386,planillanomina,6,FALSE))</f>
        <v>644350</v>
      </c>
      <c r="C389" s="136" t="s">
        <v>158</v>
      </c>
      <c r="D389" s="137">
        <f>IF(ISERROR(VLOOKUP(B386,planillanomina,20,FALSE)),"",VLOOKUP(B386,planillanomina,20,FALSE))</f>
        <v>29775.529166666667</v>
      </c>
      <c r="E389" s="138" t="str">
        <f>IF(ISERROR(VLOOKUP(#REF!,planillanomina,19,FALSE)),"",VLOOKUP(#REF!,planillanomina,19,FALSE))</f>
        <v/>
      </c>
    </row>
    <row r="390" spans="1:5" ht="15.75" thickBot="1" x14ac:dyDescent="0.25">
      <c r="A390" s="139" t="s">
        <v>159</v>
      </c>
      <c r="B390" s="135">
        <f>IF(ISERROR(VLOOKUP(B386,planillanomina,15,FALSE)),"",VLOOKUP(B386,planillanomina,15,FALSE))</f>
        <v>55038.229166666664</v>
      </c>
      <c r="C390" s="140" t="s">
        <v>160</v>
      </c>
      <c r="D390" s="137">
        <f>IF(ISERROR(VLOOKUP(B386,planillanomina,21,FALSE)),"",VLOOKUP(B386,planillanomina,21,FALSE))</f>
        <v>29775.529166666667</v>
      </c>
      <c r="E390" s="138" t="str">
        <f t="shared" ref="E390:E395" si="20">IF(ISERROR(VLOOKUP(E381,planillanomina,19,FALSE)),"",VLOOKUP(E381,planillanomina,19,FALSE))</f>
        <v/>
      </c>
    </row>
    <row r="391" spans="1:5" ht="15.75" thickBot="1" x14ac:dyDescent="0.25">
      <c r="A391" s="141" t="s">
        <v>161</v>
      </c>
      <c r="B391" s="135">
        <f>IF(ISERROR(VLOOKUP(B386,planillanomina,16,FALSE)),"",VLOOKUP(B386,planillanomina,16,FALSE))</f>
        <v>74000</v>
      </c>
      <c r="C391" s="140" t="s">
        <v>162</v>
      </c>
      <c r="D391" s="137">
        <f>IF(ISERROR(VLOOKUP(B386,planillanomina,22,FALSE)),"",VLOOKUP(B386,planillanomina,22,FALSE))</f>
        <v>0</v>
      </c>
      <c r="E391" s="138" t="str">
        <f t="shared" si="20"/>
        <v/>
      </c>
    </row>
    <row r="392" spans="1:5" ht="15.75" thickBot="1" x14ac:dyDescent="0.25">
      <c r="A392" s="139" t="s">
        <v>163</v>
      </c>
      <c r="B392" s="135">
        <f>IF(ISERROR(VLOOKUP(B386,planillanomina,17,FALSE)),"",VLOOKUP(B386,planillanomina,17,FALSE))</f>
        <v>0</v>
      </c>
      <c r="C392" s="140" t="s">
        <v>164</v>
      </c>
      <c r="D392" s="137">
        <f>IF(ISERROR(VLOOKUP(B386,planillanomina,23,FALSE)),"",VLOOKUP(B386,planillanomina,23,FALSE))</f>
        <v>40919.411458333336</v>
      </c>
      <c r="E392" s="138" t="str">
        <f t="shared" si="20"/>
        <v/>
      </c>
    </row>
    <row r="393" spans="1:5" ht="15.75" thickBot="1" x14ac:dyDescent="0.25">
      <c r="A393" s="139" t="s">
        <v>165</v>
      </c>
      <c r="B393" s="135">
        <f>IF(ISERROR(VLOOKUP(B386,planillanomina,18,FALSE)),"",VLOOKUP(B386,planillanomina,18,FALSE))</f>
        <v>44999.999999999993</v>
      </c>
      <c r="C393" s="142" t="s">
        <v>166</v>
      </c>
      <c r="D393" s="137">
        <f>IF(ISERROR(VLOOKUP(B386,planillanomina,24,FALSE)),"",VLOOKUP(B386,planillanomina,24,FALSE))</f>
        <v>3221.75</v>
      </c>
      <c r="E393" s="138" t="str">
        <f t="shared" si="20"/>
        <v/>
      </c>
    </row>
    <row r="394" spans="1:5" ht="13.5" thickBot="1" x14ac:dyDescent="0.25">
      <c r="A394" s="143"/>
      <c r="B394" s="135"/>
      <c r="C394" s="144"/>
      <c r="D394" s="137"/>
      <c r="E394" s="138" t="str">
        <f t="shared" si="20"/>
        <v/>
      </c>
    </row>
    <row r="395" spans="1:5" ht="15.75" thickBot="1" x14ac:dyDescent="0.25">
      <c r="A395" s="145" t="s">
        <v>167</v>
      </c>
      <c r="B395" s="135">
        <f>IF(ISERROR(VLOOKUP(B386,planillanomina,19,FALSE)),"",VLOOKUP(B386,planillanomina,19,FALSE))</f>
        <v>818388.22916666663</v>
      </c>
      <c r="C395" s="146" t="s">
        <v>168</v>
      </c>
      <c r="D395" s="137">
        <f>IF(ISERROR(VLOOKUP(B386,planillanomina,25,FALSE)),"",VLOOKUP(B386,planillanomina,25,FALSE))</f>
        <v>103692.21979166666</v>
      </c>
      <c r="E395" s="138" t="str">
        <f t="shared" si="20"/>
        <v/>
      </c>
    </row>
    <row r="396" spans="1:5" x14ac:dyDescent="0.2">
      <c r="A396" s="143"/>
      <c r="B396" s="147"/>
      <c r="C396" s="144"/>
      <c r="D396" s="144"/>
      <c r="E396" s="133"/>
    </row>
    <row r="397" spans="1:5" ht="13.5" thickBot="1" x14ac:dyDescent="0.25">
      <c r="A397" s="148"/>
      <c r="B397" s="149"/>
      <c r="C397" s="150"/>
      <c r="D397" s="150"/>
      <c r="E397" s="151"/>
    </row>
    <row r="398" spans="1:5" ht="18.75" thickBot="1" x14ac:dyDescent="0.3">
      <c r="B398" s="36"/>
      <c r="C398" s="37" t="s">
        <v>87</v>
      </c>
      <c r="D398" s="253">
        <f>IF(ISERROR(VLOOKUP(B386,planillanomina,26,FALSE)),"",VLOOKUP(B386,planillanomina,26,FALSE))</f>
        <v>714696.00937499991</v>
      </c>
      <c r="E398" s="254" t="str">
        <f>IF(ISERROR(VLOOKUP(C389,planillanomina,25,FALSE)),"",VLOOKUP(C389,planillanomina,25,FALSE))</f>
        <v/>
      </c>
    </row>
    <row r="399" spans="1:5" ht="13.5" thickBot="1" x14ac:dyDescent="0.25"/>
    <row r="400" spans="1:5" x14ac:dyDescent="0.2">
      <c r="A400" s="255"/>
      <c r="B400" s="256"/>
      <c r="C400" s="256"/>
      <c r="D400" s="256"/>
      <c r="E400" s="257"/>
    </row>
    <row r="401" spans="1:5" ht="18" x14ac:dyDescent="0.25">
      <c r="A401" s="269" t="s">
        <v>153</v>
      </c>
      <c r="B401" s="270"/>
      <c r="C401" s="270"/>
      <c r="D401" s="270"/>
      <c r="E401" s="271"/>
    </row>
    <row r="402" spans="1:5" ht="18" x14ac:dyDescent="0.25">
      <c r="A402" s="272" t="s">
        <v>154</v>
      </c>
      <c r="B402" s="273"/>
      <c r="C402" s="273"/>
      <c r="D402" s="273"/>
      <c r="E402" s="274"/>
    </row>
    <row r="403" spans="1:5" ht="15" x14ac:dyDescent="0.2">
      <c r="A403" s="275" t="s">
        <v>174</v>
      </c>
      <c r="B403" s="276"/>
      <c r="C403" s="276"/>
      <c r="D403" s="276"/>
      <c r="E403" s="277"/>
    </row>
    <row r="404" spans="1:5" ht="13.5" thickBot="1" x14ac:dyDescent="0.25">
      <c r="A404" s="258"/>
      <c r="B404" s="259"/>
      <c r="C404" s="259"/>
      <c r="D404" s="259"/>
      <c r="E404" s="260"/>
    </row>
    <row r="405" spans="1:5" ht="15.75" thickBot="1" x14ac:dyDescent="0.25">
      <c r="A405" s="34" t="s">
        <v>155</v>
      </c>
      <c r="B405" s="261" t="s">
        <v>55</v>
      </c>
      <c r="C405" s="262"/>
      <c r="D405" s="262"/>
      <c r="E405" s="263"/>
    </row>
    <row r="406" spans="1:5" ht="15.75" thickBot="1" x14ac:dyDescent="0.25">
      <c r="A406" s="35" t="s">
        <v>156</v>
      </c>
      <c r="B406" s="266" t="str">
        <f>IF(ISBLANK(B405),"",IF(ISERROR(VLOOKUP(B405,planillanomina,2,FALSE)),"no existe",VLOOKUP(B405,planillanomina,2,FALSE)))</f>
        <v>Martha Deisy Ceballos</v>
      </c>
      <c r="C406" s="267"/>
      <c r="D406" s="267"/>
      <c r="E406" s="268"/>
    </row>
    <row r="407" spans="1:5" ht="15.75" thickBot="1" x14ac:dyDescent="0.25">
      <c r="A407" s="278"/>
      <c r="B407" s="279"/>
      <c r="C407" s="279"/>
      <c r="D407" s="279"/>
      <c r="E407" s="133"/>
    </row>
    <row r="408" spans="1:5" ht="15.75" thickBot="1" x14ac:dyDescent="0.25">
      <c r="A408" s="134" t="s">
        <v>157</v>
      </c>
      <c r="B408" s="135">
        <f>IF(ISERROR(VLOOKUP(B405,planillanomina,6,FALSE)),"",VLOOKUP(B405,planillanomina,6,FALSE))</f>
        <v>700000</v>
      </c>
      <c r="C408" s="136" t="s">
        <v>158</v>
      </c>
      <c r="D408" s="137">
        <f>IF(ISERROR(VLOOKUP(B405,planillanomina,20,FALSE)),"",VLOOKUP(B405,planillanomina,20,FALSE))</f>
        <v>29200</v>
      </c>
      <c r="E408" s="138" t="str">
        <f>IF(ISERROR(VLOOKUP(#REF!,planillanomina,19,FALSE)),"",VLOOKUP(#REF!,planillanomina,19,FALSE))</f>
        <v/>
      </c>
    </row>
    <row r="409" spans="1:5" ht="15.75" thickBot="1" x14ac:dyDescent="0.25">
      <c r="A409" s="139" t="s">
        <v>159</v>
      </c>
      <c r="B409" s="135">
        <f>IF(ISERROR(VLOOKUP(B405,planillanomina,15,FALSE)),"",VLOOKUP(B405,planillanomina,15,FALSE))</f>
        <v>0</v>
      </c>
      <c r="C409" s="140" t="s">
        <v>160</v>
      </c>
      <c r="D409" s="137">
        <f>IF(ISERROR(VLOOKUP(B405,planillanomina,21,FALSE)),"",VLOOKUP(B405,planillanomina,21,FALSE))</f>
        <v>29200</v>
      </c>
      <c r="E409" s="138" t="str">
        <f t="shared" ref="E409:E414" si="21">IF(ISERROR(VLOOKUP(E400,planillanomina,19,FALSE)),"",VLOOKUP(E400,planillanomina,19,FALSE))</f>
        <v/>
      </c>
    </row>
    <row r="410" spans="1:5" ht="15.75" thickBot="1" x14ac:dyDescent="0.25">
      <c r="A410" s="141" t="s">
        <v>161</v>
      </c>
      <c r="B410" s="135">
        <f>IF(ISERROR(VLOOKUP(B405,planillanomina,16,FALSE)),"",VLOOKUP(B405,planillanomina,16,FALSE))</f>
        <v>74000</v>
      </c>
      <c r="C410" s="140" t="s">
        <v>162</v>
      </c>
      <c r="D410" s="137">
        <f>IF(ISERROR(VLOOKUP(B405,planillanomina,22,FALSE)),"",VLOOKUP(B405,planillanomina,22,FALSE))</f>
        <v>0</v>
      </c>
      <c r="E410" s="138" t="str">
        <f t="shared" si="21"/>
        <v/>
      </c>
    </row>
    <row r="411" spans="1:5" ht="15.75" thickBot="1" x14ac:dyDescent="0.25">
      <c r="A411" s="139" t="s">
        <v>163</v>
      </c>
      <c r="B411" s="135">
        <f>IF(ISERROR(VLOOKUP(B405,planillanomina,17,FALSE)),"",VLOOKUP(B405,planillanomina,17,FALSE))</f>
        <v>0</v>
      </c>
      <c r="C411" s="140" t="s">
        <v>164</v>
      </c>
      <c r="D411" s="137">
        <f>IF(ISERROR(VLOOKUP(B405,planillanomina,23,FALSE)),"",VLOOKUP(B405,planillanomina,23,FALSE))</f>
        <v>40200</v>
      </c>
      <c r="E411" s="138" t="str">
        <f t="shared" si="21"/>
        <v/>
      </c>
    </row>
    <row r="412" spans="1:5" ht="15.75" thickBot="1" x14ac:dyDescent="0.25">
      <c r="A412" s="139" t="s">
        <v>165</v>
      </c>
      <c r="B412" s="135">
        <f>IF(ISERROR(VLOOKUP(B405,planillanomina,18,FALSE)),"",VLOOKUP(B405,planillanomina,18,FALSE))</f>
        <v>30000</v>
      </c>
      <c r="C412" s="142" t="s">
        <v>166</v>
      </c>
      <c r="D412" s="137">
        <f>IF(ISERROR(VLOOKUP(B405,planillanomina,24,FALSE)),"",VLOOKUP(B405,planillanomina,24,FALSE))</f>
        <v>3500</v>
      </c>
      <c r="E412" s="138" t="str">
        <f t="shared" si="21"/>
        <v/>
      </c>
    </row>
    <row r="413" spans="1:5" ht="13.5" thickBot="1" x14ac:dyDescent="0.25">
      <c r="A413" s="143"/>
      <c r="B413" s="135"/>
      <c r="C413" s="144"/>
      <c r="D413" s="137"/>
      <c r="E413" s="138" t="str">
        <f t="shared" si="21"/>
        <v/>
      </c>
    </row>
    <row r="414" spans="1:5" ht="15.75" thickBot="1" x14ac:dyDescent="0.25">
      <c r="A414" s="145" t="s">
        <v>167</v>
      </c>
      <c r="B414" s="135">
        <f>IF(ISERROR(VLOOKUP(B405,planillanomina,19,FALSE)),"",VLOOKUP(B405,planillanomina,19,FALSE))</f>
        <v>804000</v>
      </c>
      <c r="C414" s="146" t="s">
        <v>168</v>
      </c>
      <c r="D414" s="137">
        <f>IF(ISERROR(VLOOKUP(B405,planillanomina,25,FALSE)),"",VLOOKUP(B405,planillanomina,25,FALSE))</f>
        <v>102100</v>
      </c>
      <c r="E414" s="138" t="str">
        <f t="shared" si="21"/>
        <v/>
      </c>
    </row>
    <row r="415" spans="1:5" x14ac:dyDescent="0.2">
      <c r="A415" s="143"/>
      <c r="B415" s="147"/>
      <c r="C415" s="144"/>
      <c r="D415" s="144"/>
      <c r="E415" s="133"/>
    </row>
    <row r="416" spans="1:5" ht="13.5" thickBot="1" x14ac:dyDescent="0.25">
      <c r="A416" s="148"/>
      <c r="B416" s="149"/>
      <c r="C416" s="150"/>
      <c r="D416" s="150"/>
      <c r="E416" s="151"/>
    </row>
    <row r="417" spans="1:5" ht="18.75" thickBot="1" x14ac:dyDescent="0.3">
      <c r="B417" s="36"/>
      <c r="C417" s="37" t="s">
        <v>87</v>
      </c>
      <c r="D417" s="253">
        <f>IF(ISERROR(VLOOKUP(B405,planillanomina,26,FALSE)),"",VLOOKUP(B405,planillanomina,26,FALSE))</f>
        <v>701900</v>
      </c>
      <c r="E417" s="254" t="str">
        <f>IF(ISERROR(VLOOKUP(C408,planillanomina,25,FALSE)),"",VLOOKUP(C408,planillanomina,25,FALSE))</f>
        <v/>
      </c>
    </row>
    <row r="418" spans="1:5" ht="13.5" thickBot="1" x14ac:dyDescent="0.25"/>
    <row r="419" spans="1:5" x14ac:dyDescent="0.2">
      <c r="A419" s="255"/>
      <c r="B419" s="256"/>
      <c r="C419" s="256"/>
      <c r="D419" s="256"/>
      <c r="E419" s="257"/>
    </row>
    <row r="420" spans="1:5" ht="18" x14ac:dyDescent="0.25">
      <c r="A420" s="269" t="s">
        <v>153</v>
      </c>
      <c r="B420" s="270"/>
      <c r="C420" s="270"/>
      <c r="D420" s="270"/>
      <c r="E420" s="271"/>
    </row>
    <row r="421" spans="1:5" ht="18" x14ac:dyDescent="0.25">
      <c r="A421" s="272" t="s">
        <v>154</v>
      </c>
      <c r="B421" s="273"/>
      <c r="C421" s="273"/>
      <c r="D421" s="273"/>
      <c r="E421" s="274"/>
    </row>
    <row r="422" spans="1:5" ht="15" x14ac:dyDescent="0.2">
      <c r="A422" s="275" t="s">
        <v>174</v>
      </c>
      <c r="B422" s="276"/>
      <c r="C422" s="276"/>
      <c r="D422" s="276"/>
      <c r="E422" s="277"/>
    </row>
    <row r="423" spans="1:5" ht="13.5" thickBot="1" x14ac:dyDescent="0.25">
      <c r="A423" s="258"/>
      <c r="B423" s="259"/>
      <c r="C423" s="259"/>
      <c r="D423" s="259"/>
      <c r="E423" s="260"/>
    </row>
    <row r="424" spans="1:5" ht="15.75" thickBot="1" x14ac:dyDescent="0.25">
      <c r="A424" s="34" t="s">
        <v>155</v>
      </c>
      <c r="B424" s="261" t="s">
        <v>58</v>
      </c>
      <c r="C424" s="262"/>
      <c r="D424" s="262"/>
      <c r="E424" s="263"/>
    </row>
    <row r="425" spans="1:5" ht="15.75" thickBot="1" x14ac:dyDescent="0.25">
      <c r="A425" s="35" t="s">
        <v>156</v>
      </c>
      <c r="B425" s="266" t="str">
        <f>IF(ISBLANK(B424),"",IF(ISERROR(VLOOKUP(B424,planillanomina,2,FALSE)),"no existe",VLOOKUP(B424,planillanomina,2,FALSE)))</f>
        <v>Mauricio Alzate</v>
      </c>
      <c r="C425" s="267"/>
      <c r="D425" s="267"/>
      <c r="E425" s="268"/>
    </row>
    <row r="426" spans="1:5" ht="15.75" thickBot="1" x14ac:dyDescent="0.25">
      <c r="A426" s="278"/>
      <c r="B426" s="279"/>
      <c r="C426" s="279"/>
      <c r="D426" s="279"/>
      <c r="E426" s="133"/>
    </row>
    <row r="427" spans="1:5" ht="15.75" thickBot="1" x14ac:dyDescent="0.25">
      <c r="A427" s="134" t="s">
        <v>157</v>
      </c>
      <c r="B427" s="135">
        <f>IF(ISERROR(VLOOKUP(B424,planillanomina,6,FALSE)),"",VLOOKUP(B424,planillanomina,6,FALSE))</f>
        <v>644350</v>
      </c>
      <c r="C427" s="136" t="s">
        <v>158</v>
      </c>
      <c r="D427" s="137">
        <f>IF(ISERROR(VLOOKUP(B424,planillanomina,20,FALSE)),"",VLOOKUP(B424,planillanomina,20,FALSE))</f>
        <v>29775.529166666667</v>
      </c>
      <c r="E427" s="138" t="str">
        <f>IF(ISERROR(VLOOKUP(#REF!,planillanomina,19,FALSE)),"",VLOOKUP(#REF!,planillanomina,19,FALSE))</f>
        <v/>
      </c>
    </row>
    <row r="428" spans="1:5" ht="15.75" thickBot="1" x14ac:dyDescent="0.25">
      <c r="A428" s="139" t="s">
        <v>159</v>
      </c>
      <c r="B428" s="135">
        <f>IF(ISERROR(VLOOKUP(B424,planillanomina,15,FALSE)),"",VLOOKUP(B424,planillanomina,15,FALSE))</f>
        <v>55038.229166666664</v>
      </c>
      <c r="C428" s="140" t="s">
        <v>160</v>
      </c>
      <c r="D428" s="137">
        <f>IF(ISERROR(VLOOKUP(B424,planillanomina,21,FALSE)),"",VLOOKUP(B424,planillanomina,21,FALSE))</f>
        <v>29775.529166666667</v>
      </c>
      <c r="E428" s="138" t="str">
        <f t="shared" ref="E428:E433" si="22">IF(ISERROR(VLOOKUP(E419,planillanomina,19,FALSE)),"",VLOOKUP(E419,planillanomina,19,FALSE))</f>
        <v/>
      </c>
    </row>
    <row r="429" spans="1:5" ht="15.75" thickBot="1" x14ac:dyDescent="0.25">
      <c r="A429" s="141" t="s">
        <v>161</v>
      </c>
      <c r="B429" s="135">
        <f>IF(ISERROR(VLOOKUP(B424,planillanomina,16,FALSE)),"",VLOOKUP(B424,planillanomina,16,FALSE))</f>
        <v>74000</v>
      </c>
      <c r="C429" s="140" t="s">
        <v>162</v>
      </c>
      <c r="D429" s="137">
        <f>IF(ISERROR(VLOOKUP(B424,planillanomina,22,FALSE)),"",VLOOKUP(B424,planillanomina,22,FALSE))</f>
        <v>0</v>
      </c>
      <c r="E429" s="138" t="str">
        <f t="shared" si="22"/>
        <v/>
      </c>
    </row>
    <row r="430" spans="1:5" ht="15.75" thickBot="1" x14ac:dyDescent="0.25">
      <c r="A430" s="139" t="s">
        <v>163</v>
      </c>
      <c r="B430" s="135">
        <f>IF(ISERROR(VLOOKUP(B424,planillanomina,17,FALSE)),"",VLOOKUP(B424,planillanomina,17,FALSE))</f>
        <v>0</v>
      </c>
      <c r="C430" s="140" t="s">
        <v>164</v>
      </c>
      <c r="D430" s="137">
        <f>IF(ISERROR(VLOOKUP(B424,planillanomina,23,FALSE)),"",VLOOKUP(B424,planillanomina,23,FALSE))</f>
        <v>40919.411458333336</v>
      </c>
      <c r="E430" s="138" t="str">
        <f t="shared" si="22"/>
        <v/>
      </c>
    </row>
    <row r="431" spans="1:5" ht="15.75" thickBot="1" x14ac:dyDescent="0.25">
      <c r="A431" s="139" t="s">
        <v>165</v>
      </c>
      <c r="B431" s="135">
        <f>IF(ISERROR(VLOOKUP(B424,planillanomina,18,FALSE)),"",VLOOKUP(B424,planillanomina,18,FALSE))</f>
        <v>44999.999999999993</v>
      </c>
      <c r="C431" s="142" t="s">
        <v>166</v>
      </c>
      <c r="D431" s="137">
        <f>IF(ISERROR(VLOOKUP(B424,planillanomina,24,FALSE)),"",VLOOKUP(B424,planillanomina,24,FALSE))</f>
        <v>3221.75</v>
      </c>
      <c r="E431" s="138" t="str">
        <f t="shared" si="22"/>
        <v/>
      </c>
    </row>
    <row r="432" spans="1:5" ht="13.5" thickBot="1" x14ac:dyDescent="0.25">
      <c r="A432" s="143"/>
      <c r="B432" s="135"/>
      <c r="C432" s="144"/>
      <c r="D432" s="137"/>
      <c r="E432" s="138" t="str">
        <f t="shared" si="22"/>
        <v/>
      </c>
    </row>
    <row r="433" spans="1:5" ht="15.75" thickBot="1" x14ac:dyDescent="0.25">
      <c r="A433" s="145" t="s">
        <v>167</v>
      </c>
      <c r="B433" s="135">
        <f>IF(ISERROR(VLOOKUP(B424,planillanomina,19,FALSE)),"",VLOOKUP(B424,planillanomina,19,FALSE))</f>
        <v>818388.22916666663</v>
      </c>
      <c r="C433" s="146" t="s">
        <v>168</v>
      </c>
      <c r="D433" s="137">
        <f>IF(ISERROR(VLOOKUP(B424,planillanomina,25,FALSE)),"",VLOOKUP(B424,planillanomina,25,FALSE))</f>
        <v>103692.21979166666</v>
      </c>
      <c r="E433" s="138" t="str">
        <f t="shared" si="22"/>
        <v/>
      </c>
    </row>
    <row r="434" spans="1:5" x14ac:dyDescent="0.2">
      <c r="A434" s="143"/>
      <c r="B434" s="147"/>
      <c r="C434" s="144"/>
      <c r="D434" s="144"/>
      <c r="E434" s="133"/>
    </row>
    <row r="435" spans="1:5" ht="13.5" thickBot="1" x14ac:dyDescent="0.25">
      <c r="A435" s="148"/>
      <c r="B435" s="149"/>
      <c r="C435" s="150"/>
      <c r="D435" s="150"/>
      <c r="E435" s="151"/>
    </row>
    <row r="436" spans="1:5" ht="18.75" thickBot="1" x14ac:dyDescent="0.3">
      <c r="B436" s="36"/>
      <c r="C436" s="37" t="s">
        <v>87</v>
      </c>
      <c r="D436" s="253">
        <f>IF(ISERROR(VLOOKUP(B424,planillanomina,26,FALSE)),"",VLOOKUP(B424,planillanomina,26,FALSE))</f>
        <v>714696.00937499991</v>
      </c>
      <c r="E436" s="254" t="str">
        <f>IF(ISERROR(VLOOKUP(C427,planillanomina,25,FALSE)),"",VLOOKUP(C427,planillanomina,25,FALSE))</f>
        <v/>
      </c>
    </row>
    <row r="437" spans="1:5" ht="13.5" thickBot="1" x14ac:dyDescent="0.25"/>
    <row r="438" spans="1:5" x14ac:dyDescent="0.2">
      <c r="A438" s="255"/>
      <c r="B438" s="256"/>
      <c r="C438" s="256"/>
      <c r="D438" s="256"/>
      <c r="E438" s="257"/>
    </row>
    <row r="439" spans="1:5" ht="18" x14ac:dyDescent="0.25">
      <c r="A439" s="269" t="s">
        <v>153</v>
      </c>
      <c r="B439" s="270"/>
      <c r="C439" s="270"/>
      <c r="D439" s="270"/>
      <c r="E439" s="271"/>
    </row>
    <row r="440" spans="1:5" ht="18" x14ac:dyDescent="0.25">
      <c r="A440" s="272" t="s">
        <v>154</v>
      </c>
      <c r="B440" s="273"/>
      <c r="C440" s="273"/>
      <c r="D440" s="273"/>
      <c r="E440" s="274"/>
    </row>
    <row r="441" spans="1:5" ht="15" x14ac:dyDescent="0.2">
      <c r="A441" s="275" t="s">
        <v>174</v>
      </c>
      <c r="B441" s="276"/>
      <c r="C441" s="276"/>
      <c r="D441" s="276"/>
      <c r="E441" s="277"/>
    </row>
    <row r="442" spans="1:5" ht="13.5" thickBot="1" x14ac:dyDescent="0.25">
      <c r="A442" s="258"/>
      <c r="B442" s="259"/>
      <c r="C442" s="259"/>
      <c r="D442" s="259"/>
      <c r="E442" s="260"/>
    </row>
    <row r="443" spans="1:5" ht="15.75" thickBot="1" x14ac:dyDescent="0.25">
      <c r="A443" s="34" t="s">
        <v>155</v>
      </c>
      <c r="B443" s="261" t="s">
        <v>60</v>
      </c>
      <c r="C443" s="262"/>
      <c r="D443" s="262"/>
      <c r="E443" s="263"/>
    </row>
    <row r="444" spans="1:5" ht="15.75" thickBot="1" x14ac:dyDescent="0.25">
      <c r="A444" s="35" t="s">
        <v>156</v>
      </c>
      <c r="B444" s="266" t="str">
        <f>IF(ISBLANK(B443),"",IF(ISERROR(VLOOKUP(B443,planillanomina,2,FALSE)),"no existe",VLOOKUP(B443,planillanomina,2,FALSE)))</f>
        <v>Mónica Yurany Giraldo</v>
      </c>
      <c r="C444" s="267"/>
      <c r="D444" s="267"/>
      <c r="E444" s="268"/>
    </row>
    <row r="445" spans="1:5" ht="15.75" thickBot="1" x14ac:dyDescent="0.25">
      <c r="A445" s="278"/>
      <c r="B445" s="279"/>
      <c r="C445" s="279"/>
      <c r="D445" s="279"/>
      <c r="E445" s="133"/>
    </row>
    <row r="446" spans="1:5" ht="15.75" thickBot="1" x14ac:dyDescent="0.25">
      <c r="A446" s="134" t="s">
        <v>157</v>
      </c>
      <c r="B446" s="135">
        <f>IF(ISERROR(VLOOKUP(B443,planillanomina,6,FALSE)),"",VLOOKUP(B443,planillanomina,6,FALSE))</f>
        <v>750000</v>
      </c>
      <c r="C446" s="136" t="s">
        <v>158</v>
      </c>
      <c r="D446" s="137">
        <f>IF(ISERROR(VLOOKUP(B443,planillanomina,20,FALSE)),"",VLOOKUP(B443,planillanomina,20,FALSE))</f>
        <v>31200</v>
      </c>
      <c r="E446" s="138" t="str">
        <f>IF(ISERROR(VLOOKUP(#REF!,planillanomina,19,FALSE)),"",VLOOKUP(#REF!,planillanomina,19,FALSE))</f>
        <v/>
      </c>
    </row>
    <row r="447" spans="1:5" ht="15.75" thickBot="1" x14ac:dyDescent="0.25">
      <c r="A447" s="139" t="s">
        <v>159</v>
      </c>
      <c r="B447" s="135">
        <f>IF(ISERROR(VLOOKUP(B443,planillanomina,15,FALSE)),"",VLOOKUP(B443,planillanomina,15,FALSE))</f>
        <v>0</v>
      </c>
      <c r="C447" s="140" t="s">
        <v>160</v>
      </c>
      <c r="D447" s="137">
        <f>IF(ISERROR(VLOOKUP(B443,planillanomina,21,FALSE)),"",VLOOKUP(B443,planillanomina,21,FALSE))</f>
        <v>31200</v>
      </c>
      <c r="E447" s="138" t="str">
        <f t="shared" ref="E447:E452" si="23">IF(ISERROR(VLOOKUP(E438,planillanomina,19,FALSE)),"",VLOOKUP(E438,planillanomina,19,FALSE))</f>
        <v/>
      </c>
    </row>
    <row r="448" spans="1:5" ht="15.75" thickBot="1" x14ac:dyDescent="0.25">
      <c r="A448" s="141" t="s">
        <v>161</v>
      </c>
      <c r="B448" s="135">
        <f>IF(ISERROR(VLOOKUP(B443,planillanomina,16,FALSE)),"",VLOOKUP(B443,planillanomina,16,FALSE))</f>
        <v>74000</v>
      </c>
      <c r="C448" s="140" t="s">
        <v>162</v>
      </c>
      <c r="D448" s="137">
        <f>IF(ISERROR(VLOOKUP(B443,planillanomina,22,FALSE)),"",VLOOKUP(B443,planillanomina,22,FALSE))</f>
        <v>0</v>
      </c>
      <c r="E448" s="138" t="str">
        <f t="shared" si="23"/>
        <v/>
      </c>
    </row>
    <row r="449" spans="1:5" ht="15.75" thickBot="1" x14ac:dyDescent="0.25">
      <c r="A449" s="139" t="s">
        <v>163</v>
      </c>
      <c r="B449" s="135">
        <f>IF(ISERROR(VLOOKUP(B443,planillanomina,17,FALSE)),"",VLOOKUP(B443,planillanomina,17,FALSE))</f>
        <v>0</v>
      </c>
      <c r="C449" s="140" t="s">
        <v>164</v>
      </c>
      <c r="D449" s="137">
        <f>IF(ISERROR(VLOOKUP(B443,planillanomina,23,FALSE)),"",VLOOKUP(B443,planillanomina,23,FALSE))</f>
        <v>85400</v>
      </c>
      <c r="E449" s="138" t="str">
        <f t="shared" si="23"/>
        <v/>
      </c>
    </row>
    <row r="450" spans="1:5" ht="15.75" thickBot="1" x14ac:dyDescent="0.25">
      <c r="A450" s="139" t="s">
        <v>165</v>
      </c>
      <c r="B450" s="135">
        <f>IF(ISERROR(VLOOKUP(B443,planillanomina,18,FALSE)),"",VLOOKUP(B443,planillanomina,18,FALSE))</f>
        <v>30000</v>
      </c>
      <c r="C450" s="142" t="s">
        <v>166</v>
      </c>
      <c r="D450" s="137">
        <f>IF(ISERROR(VLOOKUP(B443,planillanomina,24,FALSE)),"",VLOOKUP(B443,planillanomina,24,FALSE))</f>
        <v>15000</v>
      </c>
      <c r="E450" s="138" t="str">
        <f t="shared" si="23"/>
        <v/>
      </c>
    </row>
    <row r="451" spans="1:5" ht="13.5" thickBot="1" x14ac:dyDescent="0.25">
      <c r="A451" s="143"/>
      <c r="B451" s="135"/>
      <c r="C451" s="144"/>
      <c r="D451" s="137"/>
      <c r="E451" s="138" t="str">
        <f t="shared" si="23"/>
        <v/>
      </c>
    </row>
    <row r="452" spans="1:5" ht="15.75" thickBot="1" x14ac:dyDescent="0.25">
      <c r="A452" s="145" t="s">
        <v>167</v>
      </c>
      <c r="B452" s="135">
        <f>IF(ISERROR(VLOOKUP(B443,planillanomina,19,FALSE)),"",VLOOKUP(B443,planillanomina,19,FALSE))</f>
        <v>854000</v>
      </c>
      <c r="C452" s="146" t="s">
        <v>168</v>
      </c>
      <c r="D452" s="137">
        <f>IF(ISERROR(VLOOKUP(B443,planillanomina,25,FALSE)),"",VLOOKUP(B443,planillanomina,25,FALSE))</f>
        <v>162800</v>
      </c>
      <c r="E452" s="138" t="str">
        <f t="shared" si="23"/>
        <v/>
      </c>
    </row>
    <row r="453" spans="1:5" x14ac:dyDescent="0.2">
      <c r="A453" s="143"/>
      <c r="B453" s="147"/>
      <c r="C453" s="144"/>
      <c r="D453" s="144"/>
      <c r="E453" s="133"/>
    </row>
    <row r="454" spans="1:5" ht="13.5" thickBot="1" x14ac:dyDescent="0.25">
      <c r="A454" s="148"/>
      <c r="B454" s="149"/>
      <c r="C454" s="150"/>
      <c r="D454" s="150"/>
      <c r="E454" s="151"/>
    </row>
    <row r="455" spans="1:5" ht="18.75" thickBot="1" x14ac:dyDescent="0.3">
      <c r="B455" s="36"/>
      <c r="C455" s="37" t="s">
        <v>87</v>
      </c>
      <c r="D455" s="253">
        <f>IF(ISERROR(VLOOKUP(B443,planillanomina,26,FALSE)),"",VLOOKUP(B443,planillanomina,26,FALSE))</f>
        <v>691200</v>
      </c>
      <c r="E455" s="254" t="str">
        <f>IF(ISERROR(VLOOKUP(C446,planillanomina,25,FALSE)),"",VLOOKUP(C446,planillanomina,25,FALSE))</f>
        <v/>
      </c>
    </row>
    <row r="456" spans="1:5" ht="13.5" thickBot="1" x14ac:dyDescent="0.25"/>
    <row r="457" spans="1:5" x14ac:dyDescent="0.2">
      <c r="A457" s="255"/>
      <c r="B457" s="256"/>
      <c r="C457" s="256"/>
      <c r="D457" s="256"/>
      <c r="E457" s="257"/>
    </row>
    <row r="458" spans="1:5" ht="18" x14ac:dyDescent="0.25">
      <c r="A458" s="269" t="s">
        <v>153</v>
      </c>
      <c r="B458" s="270"/>
      <c r="C458" s="270"/>
      <c r="D458" s="270"/>
      <c r="E458" s="271"/>
    </row>
    <row r="459" spans="1:5" ht="18" x14ac:dyDescent="0.25">
      <c r="A459" s="272" t="s">
        <v>154</v>
      </c>
      <c r="B459" s="273"/>
      <c r="C459" s="273"/>
      <c r="D459" s="273"/>
      <c r="E459" s="274"/>
    </row>
    <row r="460" spans="1:5" ht="15" x14ac:dyDescent="0.2">
      <c r="A460" s="275" t="s">
        <v>174</v>
      </c>
      <c r="B460" s="276"/>
      <c r="C460" s="276"/>
      <c r="D460" s="276"/>
      <c r="E460" s="277"/>
    </row>
    <row r="461" spans="1:5" ht="13.5" thickBot="1" x14ac:dyDescent="0.25">
      <c r="A461" s="258"/>
      <c r="B461" s="259"/>
      <c r="C461" s="259"/>
      <c r="D461" s="259"/>
      <c r="E461" s="260"/>
    </row>
    <row r="462" spans="1:5" ht="15.75" thickBot="1" x14ac:dyDescent="0.25">
      <c r="A462" s="34" t="s">
        <v>155</v>
      </c>
      <c r="B462" s="261" t="s">
        <v>62</v>
      </c>
      <c r="C462" s="262"/>
      <c r="D462" s="262"/>
      <c r="E462" s="263"/>
    </row>
    <row r="463" spans="1:5" ht="15.75" thickBot="1" x14ac:dyDescent="0.25">
      <c r="A463" s="35" t="s">
        <v>156</v>
      </c>
      <c r="B463" s="266" t="str">
        <f>IF(ISBLANK(B462),"",IF(ISERROR(VLOOKUP(B462,planillanomina,2,FALSE)),"no existe",VLOOKUP(B462,planillanomina,2,FALSE)))</f>
        <v>Nayibet Galvis</v>
      </c>
      <c r="C463" s="267"/>
      <c r="D463" s="267"/>
      <c r="E463" s="268"/>
    </row>
    <row r="464" spans="1:5" ht="15.75" thickBot="1" x14ac:dyDescent="0.25">
      <c r="A464" s="278"/>
      <c r="B464" s="279"/>
      <c r="C464" s="279"/>
      <c r="D464" s="279"/>
      <c r="E464" s="133"/>
    </row>
    <row r="465" spans="1:5" ht="15.75" thickBot="1" x14ac:dyDescent="0.25">
      <c r="A465" s="134" t="s">
        <v>157</v>
      </c>
      <c r="B465" s="135">
        <f>IF(ISERROR(VLOOKUP(B462,planillanomina,6,FALSE)),"",VLOOKUP(B462,planillanomina,6,FALSE))</f>
        <v>644350</v>
      </c>
      <c r="C465" s="136" t="s">
        <v>158</v>
      </c>
      <c r="D465" s="137">
        <f>IF(ISERROR(VLOOKUP(B462,planillanomina,20,FALSE)),"",VLOOKUP(B462,planillanomina,20,FALSE))</f>
        <v>29775.529166666667</v>
      </c>
      <c r="E465" s="138" t="str">
        <f>IF(ISERROR(VLOOKUP(#REF!,planillanomina,19,FALSE)),"",VLOOKUP(#REF!,planillanomina,19,FALSE))</f>
        <v/>
      </c>
    </row>
    <row r="466" spans="1:5" ht="15.75" thickBot="1" x14ac:dyDescent="0.25">
      <c r="A466" s="139" t="s">
        <v>159</v>
      </c>
      <c r="B466" s="135">
        <f>IF(ISERROR(VLOOKUP(B462,planillanomina,15,FALSE)),"",VLOOKUP(B462,planillanomina,15,FALSE))</f>
        <v>55038.229166666664</v>
      </c>
      <c r="C466" s="140" t="s">
        <v>160</v>
      </c>
      <c r="D466" s="137">
        <f>IF(ISERROR(VLOOKUP(B462,planillanomina,21,FALSE)),"",VLOOKUP(B462,planillanomina,21,FALSE))</f>
        <v>29775.529166666667</v>
      </c>
      <c r="E466" s="138" t="str">
        <f t="shared" ref="E466:E471" si="24">IF(ISERROR(VLOOKUP(E457,planillanomina,19,FALSE)),"",VLOOKUP(E457,planillanomina,19,FALSE))</f>
        <v/>
      </c>
    </row>
    <row r="467" spans="1:5" ht="15.75" thickBot="1" x14ac:dyDescent="0.25">
      <c r="A467" s="141" t="s">
        <v>161</v>
      </c>
      <c r="B467" s="135">
        <f>IF(ISERROR(VLOOKUP(B462,planillanomina,16,FALSE)),"",VLOOKUP(B462,planillanomina,16,FALSE))</f>
        <v>74000</v>
      </c>
      <c r="C467" s="140" t="s">
        <v>162</v>
      </c>
      <c r="D467" s="137">
        <f>IF(ISERROR(VLOOKUP(B462,planillanomina,22,FALSE)),"",VLOOKUP(B462,planillanomina,22,FALSE))</f>
        <v>0</v>
      </c>
      <c r="E467" s="138" t="str">
        <f t="shared" si="24"/>
        <v/>
      </c>
    </row>
    <row r="468" spans="1:5" ht="15.75" thickBot="1" x14ac:dyDescent="0.25">
      <c r="A468" s="139" t="s">
        <v>163</v>
      </c>
      <c r="B468" s="135">
        <f>IF(ISERROR(VLOOKUP(B462,planillanomina,17,FALSE)),"",VLOOKUP(B462,planillanomina,17,FALSE))</f>
        <v>0</v>
      </c>
      <c r="C468" s="140" t="s">
        <v>164</v>
      </c>
      <c r="D468" s="137">
        <f>IF(ISERROR(VLOOKUP(B462,planillanomina,23,FALSE)),"",VLOOKUP(B462,planillanomina,23,FALSE))</f>
        <v>40919.411458333336</v>
      </c>
      <c r="E468" s="138" t="str">
        <f t="shared" si="24"/>
        <v/>
      </c>
    </row>
    <row r="469" spans="1:5" ht="15.75" thickBot="1" x14ac:dyDescent="0.25">
      <c r="A469" s="139" t="s">
        <v>165</v>
      </c>
      <c r="B469" s="135">
        <f>IF(ISERROR(VLOOKUP(B462,planillanomina,18,FALSE)),"",VLOOKUP(B462,planillanomina,18,FALSE))</f>
        <v>44999.999999999993</v>
      </c>
      <c r="C469" s="142" t="s">
        <v>166</v>
      </c>
      <c r="D469" s="137">
        <f>IF(ISERROR(VLOOKUP(B462,planillanomina,24,FALSE)),"",VLOOKUP(B462,planillanomina,24,FALSE))</f>
        <v>3221.75</v>
      </c>
      <c r="E469" s="138" t="str">
        <f t="shared" si="24"/>
        <v/>
      </c>
    </row>
    <row r="470" spans="1:5" ht="13.5" thickBot="1" x14ac:dyDescent="0.25">
      <c r="A470" s="143"/>
      <c r="B470" s="135"/>
      <c r="C470" s="144"/>
      <c r="D470" s="137"/>
      <c r="E470" s="138" t="str">
        <f t="shared" si="24"/>
        <v/>
      </c>
    </row>
    <row r="471" spans="1:5" ht="15.75" thickBot="1" x14ac:dyDescent="0.25">
      <c r="A471" s="145" t="s">
        <v>167</v>
      </c>
      <c r="B471" s="135">
        <f>IF(ISERROR(VLOOKUP(B462,planillanomina,19,FALSE)),"",VLOOKUP(B462,planillanomina,19,FALSE))</f>
        <v>818388.22916666663</v>
      </c>
      <c r="C471" s="146" t="s">
        <v>168</v>
      </c>
      <c r="D471" s="137">
        <f>IF(ISERROR(VLOOKUP(B462,planillanomina,25,FALSE)),"",VLOOKUP(B462,planillanomina,25,FALSE))</f>
        <v>103692.21979166666</v>
      </c>
      <c r="E471" s="138" t="str">
        <f t="shared" si="24"/>
        <v/>
      </c>
    </row>
    <row r="472" spans="1:5" x14ac:dyDescent="0.2">
      <c r="A472" s="143"/>
      <c r="B472" s="147"/>
      <c r="C472" s="144"/>
      <c r="D472" s="144"/>
      <c r="E472" s="133"/>
    </row>
    <row r="473" spans="1:5" ht="13.5" thickBot="1" x14ac:dyDescent="0.25">
      <c r="A473" s="148"/>
      <c r="B473" s="149"/>
      <c r="C473" s="150"/>
      <c r="D473" s="150"/>
      <c r="E473" s="151"/>
    </row>
    <row r="474" spans="1:5" ht="18.75" thickBot="1" x14ac:dyDescent="0.3">
      <c r="B474" s="36"/>
      <c r="C474" s="37" t="s">
        <v>87</v>
      </c>
      <c r="D474" s="253">
        <f>IF(ISERROR(VLOOKUP(B462,planillanomina,26,FALSE)),"",VLOOKUP(B462,planillanomina,26,FALSE))</f>
        <v>714696.00937499991</v>
      </c>
      <c r="E474" s="254" t="str">
        <f>IF(ISERROR(VLOOKUP(C465,planillanomina,25,FALSE)),"",VLOOKUP(C465,planillanomina,25,FALSE))</f>
        <v/>
      </c>
    </row>
    <row r="475" spans="1:5" ht="13.5" thickBot="1" x14ac:dyDescent="0.25"/>
    <row r="476" spans="1:5" x14ac:dyDescent="0.2">
      <c r="A476" s="255"/>
      <c r="B476" s="256"/>
      <c r="C476" s="256"/>
      <c r="D476" s="256"/>
      <c r="E476" s="257"/>
    </row>
    <row r="477" spans="1:5" ht="18" x14ac:dyDescent="0.25">
      <c r="A477" s="269" t="s">
        <v>153</v>
      </c>
      <c r="B477" s="270"/>
      <c r="C477" s="270"/>
      <c r="D477" s="270"/>
      <c r="E477" s="271"/>
    </row>
    <row r="478" spans="1:5" ht="18" x14ac:dyDescent="0.25">
      <c r="A478" s="272" t="s">
        <v>154</v>
      </c>
      <c r="B478" s="273"/>
      <c r="C478" s="273"/>
      <c r="D478" s="273"/>
      <c r="E478" s="274"/>
    </row>
    <row r="479" spans="1:5" ht="15" x14ac:dyDescent="0.2">
      <c r="A479" s="275" t="s">
        <v>174</v>
      </c>
      <c r="B479" s="276"/>
      <c r="C479" s="276"/>
      <c r="D479" s="276"/>
      <c r="E479" s="277"/>
    </row>
    <row r="480" spans="1:5" ht="13.5" thickBot="1" x14ac:dyDescent="0.25">
      <c r="A480" s="258"/>
      <c r="B480" s="259"/>
      <c r="C480" s="259"/>
      <c r="D480" s="259"/>
      <c r="E480" s="260"/>
    </row>
    <row r="481" spans="1:5" ht="15.75" thickBot="1" x14ac:dyDescent="0.25">
      <c r="A481" s="34" t="s">
        <v>155</v>
      </c>
      <c r="B481" s="261" t="s">
        <v>64</v>
      </c>
      <c r="C481" s="262"/>
      <c r="D481" s="262"/>
      <c r="E481" s="263"/>
    </row>
    <row r="482" spans="1:5" ht="15.75" thickBot="1" x14ac:dyDescent="0.25">
      <c r="A482" s="35" t="s">
        <v>156</v>
      </c>
      <c r="B482" s="266" t="str">
        <f>IF(ISBLANK(B481),"",IF(ISERROR(VLOOKUP(B481,planillanomina,2,FALSE)),"no existe",VLOOKUP(B481,planillanomina,2,FALSE)))</f>
        <v>Patricia Rodriguez</v>
      </c>
      <c r="C482" s="267"/>
      <c r="D482" s="267"/>
      <c r="E482" s="268"/>
    </row>
    <row r="483" spans="1:5" ht="15.75" thickBot="1" x14ac:dyDescent="0.25">
      <c r="A483" s="278"/>
      <c r="B483" s="279"/>
      <c r="C483" s="279"/>
      <c r="D483" s="279"/>
      <c r="E483" s="133"/>
    </row>
    <row r="484" spans="1:5" ht="15.75" thickBot="1" x14ac:dyDescent="0.25">
      <c r="A484" s="134" t="s">
        <v>157</v>
      </c>
      <c r="B484" s="135">
        <f>IF(ISERROR(VLOOKUP(B481,planillanomina,6,FALSE)),"",VLOOKUP(B481,planillanomina,6,FALSE))</f>
        <v>644350</v>
      </c>
      <c r="C484" s="136" t="s">
        <v>158</v>
      </c>
      <c r="D484" s="137">
        <f>IF(ISERROR(VLOOKUP(B481,planillanomina,20,FALSE)),"",VLOOKUP(B481,planillanomina,20,FALSE))</f>
        <v>29775.529166666667</v>
      </c>
      <c r="E484" s="138" t="str">
        <f>IF(ISERROR(VLOOKUP(#REF!,planillanomina,19,FALSE)),"",VLOOKUP(#REF!,planillanomina,19,FALSE))</f>
        <v/>
      </c>
    </row>
    <row r="485" spans="1:5" ht="15.75" thickBot="1" x14ac:dyDescent="0.25">
      <c r="A485" s="139" t="s">
        <v>159</v>
      </c>
      <c r="B485" s="135">
        <f>IF(ISERROR(VLOOKUP(B481,planillanomina,15,FALSE)),"",VLOOKUP(B481,planillanomina,15,FALSE))</f>
        <v>55038.229166666664</v>
      </c>
      <c r="C485" s="140" t="s">
        <v>160</v>
      </c>
      <c r="D485" s="137">
        <f>IF(ISERROR(VLOOKUP(B481,planillanomina,21,FALSE)),"",VLOOKUP(B481,planillanomina,21,FALSE))</f>
        <v>29775.529166666667</v>
      </c>
      <c r="E485" s="138" t="str">
        <f t="shared" ref="E485:E490" si="25">IF(ISERROR(VLOOKUP(E476,planillanomina,19,FALSE)),"",VLOOKUP(E476,planillanomina,19,FALSE))</f>
        <v/>
      </c>
    </row>
    <row r="486" spans="1:5" ht="15.75" thickBot="1" x14ac:dyDescent="0.25">
      <c r="A486" s="141" t="s">
        <v>161</v>
      </c>
      <c r="B486" s="135">
        <f>IF(ISERROR(VLOOKUP(B481,planillanomina,16,FALSE)),"",VLOOKUP(B481,planillanomina,16,FALSE))</f>
        <v>74000</v>
      </c>
      <c r="C486" s="140" t="s">
        <v>162</v>
      </c>
      <c r="D486" s="137">
        <f>IF(ISERROR(VLOOKUP(B481,planillanomina,22,FALSE)),"",VLOOKUP(B481,planillanomina,22,FALSE))</f>
        <v>0</v>
      </c>
      <c r="E486" s="138" t="str">
        <f t="shared" si="25"/>
        <v/>
      </c>
    </row>
    <row r="487" spans="1:5" ht="15.75" thickBot="1" x14ac:dyDescent="0.25">
      <c r="A487" s="139" t="s">
        <v>163</v>
      </c>
      <c r="B487" s="135">
        <f>IF(ISERROR(VLOOKUP(B481,planillanomina,17,FALSE)),"",VLOOKUP(B481,planillanomina,17,FALSE))</f>
        <v>0</v>
      </c>
      <c r="C487" s="140" t="s">
        <v>164</v>
      </c>
      <c r="D487" s="137">
        <f>IF(ISERROR(VLOOKUP(B481,planillanomina,23,FALSE)),"",VLOOKUP(B481,planillanomina,23,FALSE))</f>
        <v>40919.411458333336</v>
      </c>
      <c r="E487" s="138" t="str">
        <f t="shared" si="25"/>
        <v/>
      </c>
    </row>
    <row r="488" spans="1:5" ht="15.75" thickBot="1" x14ac:dyDescent="0.25">
      <c r="A488" s="139" t="s">
        <v>165</v>
      </c>
      <c r="B488" s="135">
        <f>IF(ISERROR(VLOOKUP(B481,planillanomina,18,FALSE)),"",VLOOKUP(B481,planillanomina,18,FALSE))</f>
        <v>44999.999999999993</v>
      </c>
      <c r="C488" s="142" t="s">
        <v>166</v>
      </c>
      <c r="D488" s="137">
        <f>IF(ISERROR(VLOOKUP(B481,planillanomina,24,FALSE)),"",VLOOKUP(B481,planillanomina,24,FALSE))</f>
        <v>3221.75</v>
      </c>
      <c r="E488" s="138" t="str">
        <f t="shared" si="25"/>
        <v/>
      </c>
    </row>
    <row r="489" spans="1:5" ht="13.5" thickBot="1" x14ac:dyDescent="0.25">
      <c r="A489" s="143"/>
      <c r="B489" s="135"/>
      <c r="C489" s="144"/>
      <c r="D489" s="137"/>
      <c r="E489" s="138" t="str">
        <f t="shared" si="25"/>
        <v/>
      </c>
    </row>
    <row r="490" spans="1:5" ht="15.75" thickBot="1" x14ac:dyDescent="0.25">
      <c r="A490" s="145" t="s">
        <v>167</v>
      </c>
      <c r="B490" s="135">
        <f>IF(ISERROR(VLOOKUP(B481,planillanomina,19,FALSE)),"",VLOOKUP(B481,planillanomina,19,FALSE))</f>
        <v>818388.22916666663</v>
      </c>
      <c r="C490" s="146" t="s">
        <v>168</v>
      </c>
      <c r="D490" s="137">
        <f>IF(ISERROR(VLOOKUP(B481,planillanomina,25,FALSE)),"",VLOOKUP(B481,planillanomina,25,FALSE))</f>
        <v>103692.21979166666</v>
      </c>
      <c r="E490" s="138" t="str">
        <f t="shared" si="25"/>
        <v/>
      </c>
    </row>
    <row r="491" spans="1:5" x14ac:dyDescent="0.2">
      <c r="A491" s="143"/>
      <c r="B491" s="147"/>
      <c r="C491" s="144"/>
      <c r="D491" s="144"/>
      <c r="E491" s="133"/>
    </row>
    <row r="492" spans="1:5" ht="13.5" thickBot="1" x14ac:dyDescent="0.25">
      <c r="A492" s="148"/>
      <c r="B492" s="149"/>
      <c r="C492" s="150"/>
      <c r="D492" s="150"/>
      <c r="E492" s="151"/>
    </row>
    <row r="493" spans="1:5" ht="18.75" thickBot="1" x14ac:dyDescent="0.3">
      <c r="B493" s="36"/>
      <c r="C493" s="37" t="s">
        <v>87</v>
      </c>
      <c r="D493" s="253">
        <f>IF(ISERROR(VLOOKUP(B481,planillanomina,26,FALSE)),"",VLOOKUP(B481,planillanomina,26,FALSE))</f>
        <v>714696.00937499991</v>
      </c>
      <c r="E493" s="254" t="str">
        <f>IF(ISERROR(VLOOKUP(C484,planillanomina,25,FALSE)),"",VLOOKUP(C484,planillanomina,25,FALSE))</f>
        <v/>
      </c>
    </row>
    <row r="494" spans="1:5" ht="13.5" thickBot="1" x14ac:dyDescent="0.25"/>
    <row r="495" spans="1:5" x14ac:dyDescent="0.2">
      <c r="A495" s="255"/>
      <c r="B495" s="256"/>
      <c r="C495" s="256"/>
      <c r="D495" s="256"/>
      <c r="E495" s="257"/>
    </row>
    <row r="496" spans="1:5" ht="18" x14ac:dyDescent="0.25">
      <c r="A496" s="269" t="s">
        <v>153</v>
      </c>
      <c r="B496" s="270"/>
      <c r="C496" s="270"/>
      <c r="D496" s="270"/>
      <c r="E496" s="271"/>
    </row>
    <row r="497" spans="1:5" ht="18" x14ac:dyDescent="0.25">
      <c r="A497" s="272" t="s">
        <v>154</v>
      </c>
      <c r="B497" s="273"/>
      <c r="C497" s="273"/>
      <c r="D497" s="273"/>
      <c r="E497" s="274"/>
    </row>
    <row r="498" spans="1:5" ht="15" x14ac:dyDescent="0.2">
      <c r="A498" s="275" t="s">
        <v>174</v>
      </c>
      <c r="B498" s="276"/>
      <c r="C498" s="276"/>
      <c r="D498" s="276"/>
      <c r="E498" s="277"/>
    </row>
    <row r="499" spans="1:5" ht="13.5" thickBot="1" x14ac:dyDescent="0.25">
      <c r="A499" s="258"/>
      <c r="B499" s="259"/>
      <c r="C499" s="259"/>
      <c r="D499" s="259"/>
      <c r="E499" s="260"/>
    </row>
    <row r="500" spans="1:5" ht="15.75" thickBot="1" x14ac:dyDescent="0.25">
      <c r="A500" s="34" t="s">
        <v>155</v>
      </c>
      <c r="B500" s="261" t="s">
        <v>66</v>
      </c>
      <c r="C500" s="262"/>
      <c r="D500" s="262"/>
      <c r="E500" s="263"/>
    </row>
    <row r="501" spans="1:5" ht="15.75" thickBot="1" x14ac:dyDescent="0.25">
      <c r="A501" s="35" t="s">
        <v>156</v>
      </c>
      <c r="B501" s="266" t="str">
        <f>IF(ISBLANK(B500),"",IF(ISERROR(VLOOKUP(B500,planillanomina,2,FALSE)),"no existe",VLOOKUP(B500,planillanomina,2,FALSE)))</f>
        <v>Sandra Marcela Rojas</v>
      </c>
      <c r="C501" s="267"/>
      <c r="D501" s="267"/>
      <c r="E501" s="268"/>
    </row>
    <row r="502" spans="1:5" ht="15.75" thickBot="1" x14ac:dyDescent="0.25">
      <c r="A502" s="278"/>
      <c r="B502" s="279"/>
      <c r="C502" s="279"/>
      <c r="D502" s="279"/>
      <c r="E502" s="133"/>
    </row>
    <row r="503" spans="1:5" ht="15.75" thickBot="1" x14ac:dyDescent="0.25">
      <c r="A503" s="134" t="s">
        <v>157</v>
      </c>
      <c r="B503" s="135">
        <f>IF(ISERROR(VLOOKUP(B500,planillanomina,6,FALSE)),"",VLOOKUP(B500,planillanomina,6,FALSE))</f>
        <v>644350</v>
      </c>
      <c r="C503" s="136" t="s">
        <v>158</v>
      </c>
      <c r="D503" s="137">
        <f>IF(ISERROR(VLOOKUP(B500,planillanomina,20,FALSE)),"",VLOOKUP(B500,planillanomina,20,FALSE))</f>
        <v>29775.529166666667</v>
      </c>
      <c r="E503" s="138" t="str">
        <f>IF(ISERROR(VLOOKUP(#REF!,planillanomina,19,FALSE)),"",VLOOKUP(#REF!,planillanomina,19,FALSE))</f>
        <v/>
      </c>
    </row>
    <row r="504" spans="1:5" ht="15.75" thickBot="1" x14ac:dyDescent="0.25">
      <c r="A504" s="139" t="s">
        <v>159</v>
      </c>
      <c r="B504" s="135">
        <f>IF(ISERROR(VLOOKUP(B500,planillanomina,15,FALSE)),"",VLOOKUP(B500,planillanomina,15,FALSE))</f>
        <v>55038.229166666664</v>
      </c>
      <c r="C504" s="140" t="s">
        <v>160</v>
      </c>
      <c r="D504" s="137">
        <f>IF(ISERROR(VLOOKUP(B500,planillanomina,21,FALSE)),"",VLOOKUP(B500,planillanomina,21,FALSE))</f>
        <v>29775.529166666667</v>
      </c>
      <c r="E504" s="138" t="str">
        <f t="shared" ref="E504:E509" si="26">IF(ISERROR(VLOOKUP(E495,planillanomina,19,FALSE)),"",VLOOKUP(E495,planillanomina,19,FALSE))</f>
        <v/>
      </c>
    </row>
    <row r="505" spans="1:5" ht="15.75" thickBot="1" x14ac:dyDescent="0.25">
      <c r="A505" s="141" t="s">
        <v>161</v>
      </c>
      <c r="B505" s="135">
        <f>IF(ISERROR(VLOOKUP(B500,planillanomina,16,FALSE)),"",VLOOKUP(B500,planillanomina,16,FALSE))</f>
        <v>74000</v>
      </c>
      <c r="C505" s="140" t="s">
        <v>162</v>
      </c>
      <c r="D505" s="137">
        <f>IF(ISERROR(VLOOKUP(B500,planillanomina,22,FALSE)),"",VLOOKUP(B500,planillanomina,22,FALSE))</f>
        <v>0</v>
      </c>
      <c r="E505" s="138" t="str">
        <f t="shared" si="26"/>
        <v/>
      </c>
    </row>
    <row r="506" spans="1:5" ht="15.75" thickBot="1" x14ac:dyDescent="0.25">
      <c r="A506" s="139" t="s">
        <v>163</v>
      </c>
      <c r="B506" s="135">
        <f>IF(ISERROR(VLOOKUP(B500,planillanomina,17,FALSE)),"",VLOOKUP(B500,planillanomina,17,FALSE))</f>
        <v>0</v>
      </c>
      <c r="C506" s="140" t="s">
        <v>164</v>
      </c>
      <c r="D506" s="137">
        <f>IF(ISERROR(VLOOKUP(B500,planillanomina,23,FALSE)),"",VLOOKUP(B500,planillanomina,23,FALSE))</f>
        <v>40919.411458333336</v>
      </c>
      <c r="E506" s="138" t="str">
        <f t="shared" si="26"/>
        <v/>
      </c>
    </row>
    <row r="507" spans="1:5" ht="15.75" thickBot="1" x14ac:dyDescent="0.25">
      <c r="A507" s="139" t="s">
        <v>165</v>
      </c>
      <c r="B507" s="135">
        <f>IF(ISERROR(VLOOKUP(B500,planillanomina,18,FALSE)),"",VLOOKUP(B500,planillanomina,18,FALSE))</f>
        <v>44999.999999999993</v>
      </c>
      <c r="C507" s="142" t="s">
        <v>166</v>
      </c>
      <c r="D507" s="137">
        <f>IF(ISERROR(VLOOKUP(B500,planillanomina,24,FALSE)),"",VLOOKUP(B500,planillanomina,24,FALSE))</f>
        <v>3221.75</v>
      </c>
      <c r="E507" s="138" t="str">
        <f t="shared" si="26"/>
        <v/>
      </c>
    </row>
    <row r="508" spans="1:5" ht="13.5" thickBot="1" x14ac:dyDescent="0.25">
      <c r="A508" s="143"/>
      <c r="B508" s="135"/>
      <c r="C508" s="144"/>
      <c r="D508" s="137"/>
      <c r="E508" s="138" t="str">
        <f t="shared" si="26"/>
        <v/>
      </c>
    </row>
    <row r="509" spans="1:5" ht="15.75" thickBot="1" x14ac:dyDescent="0.25">
      <c r="A509" s="145" t="s">
        <v>167</v>
      </c>
      <c r="B509" s="135">
        <f>IF(ISERROR(VLOOKUP(B500,planillanomina,19,FALSE)),"",VLOOKUP(B500,planillanomina,19,FALSE))</f>
        <v>818388.22916666663</v>
      </c>
      <c r="C509" s="146" t="s">
        <v>168</v>
      </c>
      <c r="D509" s="137">
        <f>IF(ISERROR(VLOOKUP(B500,planillanomina,25,FALSE)),"",VLOOKUP(B500,planillanomina,25,FALSE))</f>
        <v>103692.21979166666</v>
      </c>
      <c r="E509" s="138" t="str">
        <f t="shared" si="26"/>
        <v/>
      </c>
    </row>
    <row r="510" spans="1:5" x14ac:dyDescent="0.2">
      <c r="A510" s="143"/>
      <c r="B510" s="147"/>
      <c r="C510" s="144"/>
      <c r="D510" s="144"/>
      <c r="E510" s="133"/>
    </row>
    <row r="511" spans="1:5" ht="13.5" thickBot="1" x14ac:dyDescent="0.25">
      <c r="A511" s="148"/>
      <c r="B511" s="149"/>
      <c r="C511" s="150"/>
      <c r="D511" s="150"/>
      <c r="E511" s="151"/>
    </row>
    <row r="512" spans="1:5" ht="18.75" thickBot="1" x14ac:dyDescent="0.3">
      <c r="B512" s="36"/>
      <c r="C512" s="37" t="s">
        <v>87</v>
      </c>
      <c r="D512" s="253">
        <f>IF(ISERROR(VLOOKUP(B500,planillanomina,26,FALSE)),"",VLOOKUP(B500,planillanomina,26,FALSE))</f>
        <v>714696.00937499991</v>
      </c>
      <c r="E512" s="254" t="str">
        <f>IF(ISERROR(VLOOKUP(C503,planillanomina,25,FALSE)),"",VLOOKUP(C503,planillanomina,25,FALSE))</f>
        <v/>
      </c>
    </row>
    <row r="513" spans="1:5" ht="13.5" thickBot="1" x14ac:dyDescent="0.25"/>
    <row r="514" spans="1:5" x14ac:dyDescent="0.2">
      <c r="A514" s="255"/>
      <c r="B514" s="256"/>
      <c r="C514" s="256"/>
      <c r="D514" s="256"/>
      <c r="E514" s="257"/>
    </row>
    <row r="515" spans="1:5" ht="18" x14ac:dyDescent="0.25">
      <c r="A515" s="269" t="s">
        <v>153</v>
      </c>
      <c r="B515" s="270"/>
      <c r="C515" s="270"/>
      <c r="D515" s="270"/>
      <c r="E515" s="271"/>
    </row>
    <row r="516" spans="1:5" ht="18" x14ac:dyDescent="0.25">
      <c r="A516" s="272" t="s">
        <v>154</v>
      </c>
      <c r="B516" s="273"/>
      <c r="C516" s="273"/>
      <c r="D516" s="273"/>
      <c r="E516" s="274"/>
    </row>
    <row r="517" spans="1:5" ht="15" x14ac:dyDescent="0.2">
      <c r="A517" s="275" t="s">
        <v>174</v>
      </c>
      <c r="B517" s="276"/>
      <c r="C517" s="276"/>
      <c r="D517" s="276"/>
      <c r="E517" s="277"/>
    </row>
    <row r="518" spans="1:5" ht="13.5" thickBot="1" x14ac:dyDescent="0.25">
      <c r="A518" s="258"/>
      <c r="B518" s="259"/>
      <c r="C518" s="259"/>
      <c r="D518" s="259"/>
      <c r="E518" s="260"/>
    </row>
    <row r="519" spans="1:5" ht="15.75" thickBot="1" x14ac:dyDescent="0.25">
      <c r="A519" s="34" t="s">
        <v>155</v>
      </c>
      <c r="B519" s="261" t="s">
        <v>68</v>
      </c>
      <c r="C519" s="262"/>
      <c r="D519" s="262"/>
      <c r="E519" s="263"/>
    </row>
    <row r="520" spans="1:5" ht="15.75" thickBot="1" x14ac:dyDescent="0.25">
      <c r="A520" s="35" t="s">
        <v>156</v>
      </c>
      <c r="B520" s="266" t="str">
        <f>IF(ISBLANK(B519),"",IF(ISERROR(VLOOKUP(B519,planillanomina,2,FALSE)),"no existe",VLOOKUP(B519,planillanomina,2,FALSE)))</f>
        <v>Yeisón Fernando García</v>
      </c>
      <c r="C520" s="267"/>
      <c r="D520" s="267"/>
      <c r="E520" s="268"/>
    </row>
    <row r="521" spans="1:5" ht="15.75" thickBot="1" x14ac:dyDescent="0.25">
      <c r="A521" s="278"/>
      <c r="B521" s="279"/>
      <c r="C521" s="279"/>
      <c r="D521" s="279"/>
      <c r="E521" s="133"/>
    </row>
    <row r="522" spans="1:5" ht="15.75" thickBot="1" x14ac:dyDescent="0.25">
      <c r="A522" s="134" t="s">
        <v>157</v>
      </c>
      <c r="B522" s="135">
        <f>IF(ISERROR(VLOOKUP(B519,planillanomina,6,FALSE)),"",VLOOKUP(B519,planillanomina,6,FALSE))</f>
        <v>900000</v>
      </c>
      <c r="C522" s="136" t="s">
        <v>158</v>
      </c>
      <c r="D522" s="137">
        <f>IF(ISERROR(VLOOKUP(B519,planillanomina,20,FALSE)),"",VLOOKUP(B519,planillanomina,20,FALSE))</f>
        <v>37200</v>
      </c>
      <c r="E522" s="138" t="str">
        <f>IF(ISERROR(VLOOKUP(#REF!,planillanomina,19,FALSE)),"",VLOOKUP(#REF!,planillanomina,19,FALSE))</f>
        <v/>
      </c>
    </row>
    <row r="523" spans="1:5" ht="15.75" thickBot="1" x14ac:dyDescent="0.25">
      <c r="A523" s="139" t="s">
        <v>159</v>
      </c>
      <c r="B523" s="135">
        <f>IF(ISERROR(VLOOKUP(B519,planillanomina,15,FALSE)),"",VLOOKUP(B519,planillanomina,15,FALSE))</f>
        <v>0</v>
      </c>
      <c r="C523" s="140" t="s">
        <v>160</v>
      </c>
      <c r="D523" s="137">
        <f>IF(ISERROR(VLOOKUP(B519,planillanomina,21,FALSE)),"",VLOOKUP(B519,planillanomina,21,FALSE))</f>
        <v>37200</v>
      </c>
      <c r="E523" s="138" t="str">
        <f t="shared" ref="E523:E528" si="27">IF(ISERROR(VLOOKUP(E514,planillanomina,19,FALSE)),"",VLOOKUP(E514,planillanomina,19,FALSE))</f>
        <v/>
      </c>
    </row>
    <row r="524" spans="1:5" ht="15.75" thickBot="1" x14ac:dyDescent="0.25">
      <c r="A524" s="141" t="s">
        <v>161</v>
      </c>
      <c r="B524" s="135">
        <f>IF(ISERROR(VLOOKUP(B519,planillanomina,16,FALSE)),"",VLOOKUP(B519,planillanomina,16,FALSE))</f>
        <v>74000</v>
      </c>
      <c r="C524" s="140" t="s">
        <v>162</v>
      </c>
      <c r="D524" s="137">
        <f>IF(ISERROR(VLOOKUP(B519,planillanomina,22,FALSE)),"",VLOOKUP(B519,planillanomina,22,FALSE))</f>
        <v>0</v>
      </c>
      <c r="E524" s="138" t="str">
        <f t="shared" si="27"/>
        <v/>
      </c>
    </row>
    <row r="525" spans="1:5" ht="15.75" thickBot="1" x14ac:dyDescent="0.25">
      <c r="A525" s="139" t="s">
        <v>163</v>
      </c>
      <c r="B525" s="135">
        <f>IF(ISERROR(VLOOKUP(B519,planillanomina,17,FALSE)),"",VLOOKUP(B519,planillanomina,17,FALSE))</f>
        <v>0</v>
      </c>
      <c r="C525" s="140" t="s">
        <v>164</v>
      </c>
      <c r="D525" s="137">
        <f>IF(ISERROR(VLOOKUP(B519,planillanomina,23,FALSE)),"",VLOOKUP(B519,planillanomina,23,FALSE))</f>
        <v>100400</v>
      </c>
      <c r="E525" s="138" t="str">
        <f t="shared" si="27"/>
        <v/>
      </c>
    </row>
    <row r="526" spans="1:5" ht="15.75" thickBot="1" x14ac:dyDescent="0.25">
      <c r="A526" s="139" t="s">
        <v>165</v>
      </c>
      <c r="B526" s="135">
        <f>IF(ISERROR(VLOOKUP(B519,planillanomina,18,FALSE)),"",VLOOKUP(B519,planillanomina,18,FALSE))</f>
        <v>30000</v>
      </c>
      <c r="C526" s="142" t="s">
        <v>166</v>
      </c>
      <c r="D526" s="137">
        <f>IF(ISERROR(VLOOKUP(B519,planillanomina,24,FALSE)),"",VLOOKUP(B519,planillanomina,24,FALSE))</f>
        <v>18000</v>
      </c>
      <c r="E526" s="138" t="str">
        <f t="shared" si="27"/>
        <v/>
      </c>
    </row>
    <row r="527" spans="1:5" ht="13.5" thickBot="1" x14ac:dyDescent="0.25">
      <c r="A527" s="143"/>
      <c r="B527" s="135"/>
      <c r="C527" s="144"/>
      <c r="D527" s="137"/>
      <c r="E527" s="138" t="str">
        <f t="shared" si="27"/>
        <v/>
      </c>
    </row>
    <row r="528" spans="1:5" ht="15.75" thickBot="1" x14ac:dyDescent="0.25">
      <c r="A528" s="145" t="s">
        <v>167</v>
      </c>
      <c r="B528" s="135">
        <f>IF(ISERROR(VLOOKUP(B519,planillanomina,19,FALSE)),"",VLOOKUP(B519,planillanomina,19,FALSE))</f>
        <v>1004000</v>
      </c>
      <c r="C528" s="146" t="s">
        <v>168</v>
      </c>
      <c r="D528" s="137">
        <f>IF(ISERROR(VLOOKUP(B519,planillanomina,25,FALSE)),"",VLOOKUP(B519,planillanomina,25,FALSE))</f>
        <v>192800</v>
      </c>
      <c r="E528" s="138" t="str">
        <f t="shared" si="27"/>
        <v/>
      </c>
    </row>
    <row r="529" spans="1:5" x14ac:dyDescent="0.2">
      <c r="A529" s="143"/>
      <c r="B529" s="147"/>
      <c r="C529" s="144"/>
      <c r="D529" s="144"/>
      <c r="E529" s="133"/>
    </row>
    <row r="530" spans="1:5" ht="13.5" thickBot="1" x14ac:dyDescent="0.25">
      <c r="A530" s="148"/>
      <c r="B530" s="149"/>
      <c r="C530" s="150"/>
      <c r="D530" s="150"/>
      <c r="E530" s="151"/>
    </row>
    <row r="531" spans="1:5" ht="18.75" thickBot="1" x14ac:dyDescent="0.3">
      <c r="B531" s="36"/>
      <c r="C531" s="37" t="s">
        <v>87</v>
      </c>
      <c r="D531" s="253">
        <f>IF(ISERROR(VLOOKUP(B519,planillanomina,26,FALSE)),"",VLOOKUP(B519,planillanomina,26,FALSE))</f>
        <v>811200</v>
      </c>
      <c r="E531" s="254" t="str">
        <f>IF(ISERROR(VLOOKUP(C522,planillanomina,25,FALSE)),"",VLOOKUP(C522,planillanomina,25,FALSE))</f>
        <v/>
      </c>
    </row>
    <row r="532" spans="1:5" ht="13.5" thickBot="1" x14ac:dyDescent="0.25"/>
    <row r="533" spans="1:5" x14ac:dyDescent="0.2">
      <c r="A533" s="255"/>
      <c r="B533" s="256"/>
      <c r="C533" s="256"/>
      <c r="D533" s="256"/>
      <c r="E533" s="257"/>
    </row>
    <row r="534" spans="1:5" ht="18" x14ac:dyDescent="0.25">
      <c r="A534" s="269" t="s">
        <v>153</v>
      </c>
      <c r="B534" s="270"/>
      <c r="C534" s="270"/>
      <c r="D534" s="270"/>
      <c r="E534" s="271"/>
    </row>
    <row r="535" spans="1:5" ht="18" x14ac:dyDescent="0.25">
      <c r="A535" s="272" t="s">
        <v>154</v>
      </c>
      <c r="B535" s="273"/>
      <c r="C535" s="273"/>
      <c r="D535" s="273"/>
      <c r="E535" s="274"/>
    </row>
    <row r="536" spans="1:5" ht="15" x14ac:dyDescent="0.2">
      <c r="A536" s="275" t="s">
        <v>174</v>
      </c>
      <c r="B536" s="276"/>
      <c r="C536" s="276"/>
      <c r="D536" s="276"/>
      <c r="E536" s="277"/>
    </row>
    <row r="537" spans="1:5" ht="13.5" thickBot="1" x14ac:dyDescent="0.25">
      <c r="A537" s="258"/>
      <c r="B537" s="259"/>
      <c r="C537" s="259"/>
      <c r="D537" s="259"/>
      <c r="E537" s="260"/>
    </row>
    <row r="538" spans="1:5" ht="15.75" thickBot="1" x14ac:dyDescent="0.25">
      <c r="A538" s="34" t="s">
        <v>155</v>
      </c>
      <c r="B538" s="261" t="s">
        <v>70</v>
      </c>
      <c r="C538" s="262"/>
      <c r="D538" s="262"/>
      <c r="E538" s="263"/>
    </row>
    <row r="539" spans="1:5" ht="15.75" thickBot="1" x14ac:dyDescent="0.25">
      <c r="A539" s="35" t="s">
        <v>156</v>
      </c>
      <c r="B539" s="266" t="str">
        <f>IF(ISBLANK(B538),"",IF(ISERROR(VLOOKUP(B538,planillanomina,2,FALSE)),"no existe",VLOOKUP(B538,planillanomina,2,FALSE)))</f>
        <v>Yohiner Tangarife</v>
      </c>
      <c r="C539" s="267"/>
      <c r="D539" s="267"/>
      <c r="E539" s="268"/>
    </row>
    <row r="540" spans="1:5" ht="15.75" thickBot="1" x14ac:dyDescent="0.25">
      <c r="A540" s="278"/>
      <c r="B540" s="279"/>
      <c r="C540" s="279"/>
      <c r="D540" s="279"/>
      <c r="E540" s="133"/>
    </row>
    <row r="541" spans="1:5" ht="15.75" thickBot="1" x14ac:dyDescent="0.25">
      <c r="A541" s="134" t="s">
        <v>157</v>
      </c>
      <c r="B541" s="135">
        <f>IF(ISERROR(VLOOKUP(B538,planillanomina,6,FALSE)),"",VLOOKUP(B538,planillanomina,6,FALSE))</f>
        <v>900000</v>
      </c>
      <c r="C541" s="136" t="s">
        <v>158</v>
      </c>
      <c r="D541" s="137">
        <f>IF(ISERROR(VLOOKUP(B538,planillanomina,20,FALSE)),"",VLOOKUP(B538,planillanomina,20,FALSE))</f>
        <v>37200</v>
      </c>
      <c r="E541" s="138" t="str">
        <f>IF(ISERROR(VLOOKUP(#REF!,planillanomina,19,FALSE)),"",VLOOKUP(#REF!,planillanomina,19,FALSE))</f>
        <v/>
      </c>
    </row>
    <row r="542" spans="1:5" ht="15.75" thickBot="1" x14ac:dyDescent="0.25">
      <c r="A542" s="139" t="s">
        <v>159</v>
      </c>
      <c r="B542" s="135">
        <f>IF(ISERROR(VLOOKUP(B538,planillanomina,15,FALSE)),"",VLOOKUP(B538,planillanomina,15,FALSE))</f>
        <v>0</v>
      </c>
      <c r="C542" s="140" t="s">
        <v>160</v>
      </c>
      <c r="D542" s="137">
        <f>IF(ISERROR(VLOOKUP(B538,planillanomina,21,FALSE)),"",VLOOKUP(B538,planillanomina,21,FALSE))</f>
        <v>37200</v>
      </c>
      <c r="E542" s="138" t="str">
        <f t="shared" ref="E542:E547" si="28">IF(ISERROR(VLOOKUP(E533,planillanomina,19,FALSE)),"",VLOOKUP(E533,planillanomina,19,FALSE))</f>
        <v/>
      </c>
    </row>
    <row r="543" spans="1:5" ht="15.75" thickBot="1" x14ac:dyDescent="0.25">
      <c r="A543" s="141" t="s">
        <v>161</v>
      </c>
      <c r="B543" s="135">
        <f>IF(ISERROR(VLOOKUP(B538,planillanomina,16,FALSE)),"",VLOOKUP(B538,planillanomina,16,FALSE))</f>
        <v>74000</v>
      </c>
      <c r="C543" s="140" t="s">
        <v>162</v>
      </c>
      <c r="D543" s="137">
        <f>IF(ISERROR(VLOOKUP(B538,planillanomina,22,FALSE)),"",VLOOKUP(B538,planillanomina,22,FALSE))</f>
        <v>0</v>
      </c>
      <c r="E543" s="138" t="str">
        <f t="shared" si="28"/>
        <v/>
      </c>
    </row>
    <row r="544" spans="1:5" ht="15.75" thickBot="1" x14ac:dyDescent="0.25">
      <c r="A544" s="139" t="s">
        <v>163</v>
      </c>
      <c r="B544" s="135">
        <f>IF(ISERROR(VLOOKUP(B538,planillanomina,17,FALSE)),"",VLOOKUP(B538,planillanomina,17,FALSE))</f>
        <v>0</v>
      </c>
      <c r="C544" s="140" t="s">
        <v>164</v>
      </c>
      <c r="D544" s="137">
        <f>IF(ISERROR(VLOOKUP(B538,planillanomina,23,FALSE)),"",VLOOKUP(B538,planillanomina,23,FALSE))</f>
        <v>100400</v>
      </c>
      <c r="E544" s="138" t="str">
        <f t="shared" si="28"/>
        <v/>
      </c>
    </row>
    <row r="545" spans="1:5" ht="15.75" thickBot="1" x14ac:dyDescent="0.25">
      <c r="A545" s="139" t="s">
        <v>165</v>
      </c>
      <c r="B545" s="135">
        <f>IF(ISERROR(VLOOKUP(B538,planillanomina,18,FALSE)),"",VLOOKUP(B538,planillanomina,18,FALSE))</f>
        <v>30000</v>
      </c>
      <c r="C545" s="142" t="s">
        <v>166</v>
      </c>
      <c r="D545" s="137">
        <f>IF(ISERROR(VLOOKUP(B538,planillanomina,24,FALSE)),"",VLOOKUP(B538,planillanomina,24,FALSE))</f>
        <v>18000</v>
      </c>
      <c r="E545" s="138" t="str">
        <f t="shared" si="28"/>
        <v/>
      </c>
    </row>
    <row r="546" spans="1:5" ht="13.5" thickBot="1" x14ac:dyDescent="0.25">
      <c r="A546" s="143"/>
      <c r="B546" s="135"/>
      <c r="C546" s="144"/>
      <c r="D546" s="137"/>
      <c r="E546" s="138" t="str">
        <f t="shared" si="28"/>
        <v/>
      </c>
    </row>
    <row r="547" spans="1:5" ht="15.75" thickBot="1" x14ac:dyDescent="0.25">
      <c r="A547" s="145" t="s">
        <v>167</v>
      </c>
      <c r="B547" s="135">
        <f>IF(ISERROR(VLOOKUP(B538,planillanomina,19,FALSE)),"",VLOOKUP(B538,planillanomina,19,FALSE))</f>
        <v>1004000</v>
      </c>
      <c r="C547" s="146" t="s">
        <v>168</v>
      </c>
      <c r="D547" s="137">
        <f>IF(ISERROR(VLOOKUP(B538,planillanomina,25,FALSE)),"",VLOOKUP(B538,planillanomina,25,FALSE))</f>
        <v>192800</v>
      </c>
      <c r="E547" s="138" t="str">
        <f t="shared" si="28"/>
        <v/>
      </c>
    </row>
    <row r="548" spans="1:5" x14ac:dyDescent="0.2">
      <c r="A548" s="143"/>
      <c r="B548" s="147"/>
      <c r="C548" s="144"/>
      <c r="D548" s="144"/>
      <c r="E548" s="133"/>
    </row>
    <row r="549" spans="1:5" ht="13.5" thickBot="1" x14ac:dyDescent="0.25">
      <c r="A549" s="148"/>
      <c r="B549" s="149"/>
      <c r="C549" s="150"/>
      <c r="D549" s="150"/>
      <c r="E549" s="151"/>
    </row>
    <row r="550" spans="1:5" ht="18.75" thickBot="1" x14ac:dyDescent="0.3">
      <c r="B550" s="36"/>
      <c r="C550" s="37" t="s">
        <v>87</v>
      </c>
      <c r="D550" s="253">
        <f>IF(ISERROR(VLOOKUP(B538,planillanomina,26,FALSE)),"",VLOOKUP(B538,planillanomina,26,FALSE))</f>
        <v>811200</v>
      </c>
      <c r="E550" s="254" t="str">
        <f>IF(ISERROR(VLOOKUP(C541,planillanomina,25,FALSE)),"",VLOOKUP(C541,planillanomina,25,FALSE))</f>
        <v/>
      </c>
    </row>
    <row r="551" spans="1:5" ht="13.5" thickBot="1" x14ac:dyDescent="0.25"/>
    <row r="552" spans="1:5" x14ac:dyDescent="0.2">
      <c r="A552" s="255"/>
      <c r="B552" s="256"/>
      <c r="C552" s="256"/>
      <c r="D552" s="256"/>
      <c r="E552" s="257"/>
    </row>
    <row r="553" spans="1:5" ht="18" x14ac:dyDescent="0.25">
      <c r="A553" s="269" t="s">
        <v>153</v>
      </c>
      <c r="B553" s="270"/>
      <c r="C553" s="270"/>
      <c r="D553" s="270"/>
      <c r="E553" s="271"/>
    </row>
    <row r="554" spans="1:5" ht="18" x14ac:dyDescent="0.25">
      <c r="A554" s="272" t="s">
        <v>154</v>
      </c>
      <c r="B554" s="273"/>
      <c r="C554" s="273"/>
      <c r="D554" s="273"/>
      <c r="E554" s="274"/>
    </row>
    <row r="555" spans="1:5" ht="15" x14ac:dyDescent="0.2">
      <c r="A555" s="275" t="s">
        <v>174</v>
      </c>
      <c r="B555" s="276"/>
      <c r="C555" s="276"/>
      <c r="D555" s="276"/>
      <c r="E555" s="277"/>
    </row>
    <row r="556" spans="1:5" ht="13.5" thickBot="1" x14ac:dyDescent="0.25">
      <c r="A556" s="258"/>
      <c r="B556" s="259"/>
      <c r="C556" s="259"/>
      <c r="D556" s="259"/>
      <c r="E556" s="260"/>
    </row>
    <row r="557" spans="1:5" ht="15.75" thickBot="1" x14ac:dyDescent="0.25">
      <c r="A557" s="34" t="s">
        <v>155</v>
      </c>
      <c r="B557" s="261" t="s">
        <v>72</v>
      </c>
      <c r="C557" s="262"/>
      <c r="D557" s="262"/>
      <c r="E557" s="263"/>
    </row>
    <row r="558" spans="1:5" ht="15.75" thickBot="1" x14ac:dyDescent="0.25">
      <c r="A558" s="35" t="s">
        <v>156</v>
      </c>
      <c r="B558" s="266" t="str">
        <f>IF(ISBLANK(B557),"",IF(ISERROR(VLOOKUP(B557,planillanomina,2,FALSE)),"no existe",VLOOKUP(B557,planillanomina,2,FALSE)))</f>
        <v>Yuliana Cardona</v>
      </c>
      <c r="C558" s="267"/>
      <c r="D558" s="267"/>
      <c r="E558" s="268"/>
    </row>
    <row r="559" spans="1:5" ht="15.75" thickBot="1" x14ac:dyDescent="0.25">
      <c r="A559" s="278"/>
      <c r="B559" s="279"/>
      <c r="C559" s="279"/>
      <c r="D559" s="279"/>
      <c r="E559" s="133"/>
    </row>
    <row r="560" spans="1:5" ht="15.75" thickBot="1" x14ac:dyDescent="0.25">
      <c r="A560" s="134" t="s">
        <v>157</v>
      </c>
      <c r="B560" s="135">
        <f>IF(ISERROR(VLOOKUP(B557,planillanomina,6,FALSE)),"",VLOOKUP(B557,planillanomina,6,FALSE))</f>
        <v>700000</v>
      </c>
      <c r="C560" s="136" t="s">
        <v>158</v>
      </c>
      <c r="D560" s="137">
        <f>IF(ISERROR(VLOOKUP(B557,planillanomina,20,FALSE)),"",VLOOKUP(B557,planillanomina,20,FALSE))</f>
        <v>29200</v>
      </c>
      <c r="E560" s="138" t="str">
        <f>IF(ISERROR(VLOOKUP(#REF!,planillanomina,19,FALSE)),"",VLOOKUP(#REF!,planillanomina,19,FALSE))</f>
        <v/>
      </c>
    </row>
    <row r="561" spans="1:5" ht="15.75" thickBot="1" x14ac:dyDescent="0.25">
      <c r="A561" s="139" t="s">
        <v>159</v>
      </c>
      <c r="B561" s="135">
        <f>IF(ISERROR(VLOOKUP(B557,planillanomina,15,FALSE)),"",VLOOKUP(B557,planillanomina,15,FALSE))</f>
        <v>0</v>
      </c>
      <c r="C561" s="140" t="s">
        <v>160</v>
      </c>
      <c r="D561" s="137">
        <f>IF(ISERROR(VLOOKUP(B557,planillanomina,21,FALSE)),"",VLOOKUP(B557,planillanomina,21,FALSE))</f>
        <v>29200</v>
      </c>
      <c r="E561" s="138" t="str">
        <f t="shared" ref="E561:E566" si="29">IF(ISERROR(VLOOKUP(E552,planillanomina,19,FALSE)),"",VLOOKUP(E552,planillanomina,19,FALSE))</f>
        <v/>
      </c>
    </row>
    <row r="562" spans="1:5" ht="15.75" thickBot="1" x14ac:dyDescent="0.25">
      <c r="A562" s="141" t="s">
        <v>161</v>
      </c>
      <c r="B562" s="135">
        <f>IF(ISERROR(VLOOKUP(B557,planillanomina,16,FALSE)),"",VLOOKUP(B557,planillanomina,16,FALSE))</f>
        <v>74000</v>
      </c>
      <c r="C562" s="140" t="s">
        <v>162</v>
      </c>
      <c r="D562" s="137">
        <f>IF(ISERROR(VLOOKUP(B557,planillanomina,22,FALSE)),"",VLOOKUP(B557,planillanomina,22,FALSE))</f>
        <v>0</v>
      </c>
      <c r="E562" s="138" t="str">
        <f t="shared" si="29"/>
        <v/>
      </c>
    </row>
    <row r="563" spans="1:5" ht="15.75" thickBot="1" x14ac:dyDescent="0.25">
      <c r="A563" s="139" t="s">
        <v>163</v>
      </c>
      <c r="B563" s="135">
        <f>IF(ISERROR(VLOOKUP(B557,planillanomina,17,FALSE)),"",VLOOKUP(B557,planillanomina,17,FALSE))</f>
        <v>0</v>
      </c>
      <c r="C563" s="140" t="s">
        <v>164</v>
      </c>
      <c r="D563" s="137">
        <f>IF(ISERROR(VLOOKUP(B557,planillanomina,23,FALSE)),"",VLOOKUP(B557,planillanomina,23,FALSE))</f>
        <v>40200</v>
      </c>
      <c r="E563" s="138" t="str">
        <f t="shared" si="29"/>
        <v/>
      </c>
    </row>
    <row r="564" spans="1:5" ht="15.75" thickBot="1" x14ac:dyDescent="0.25">
      <c r="A564" s="139" t="s">
        <v>165</v>
      </c>
      <c r="B564" s="135">
        <f>IF(ISERROR(VLOOKUP(B557,planillanomina,18,FALSE)),"",VLOOKUP(B557,planillanomina,18,FALSE))</f>
        <v>30000</v>
      </c>
      <c r="C564" s="142" t="s">
        <v>166</v>
      </c>
      <c r="D564" s="137">
        <f>IF(ISERROR(VLOOKUP(B557,planillanomina,24,FALSE)),"",VLOOKUP(B557,planillanomina,24,FALSE))</f>
        <v>3500</v>
      </c>
      <c r="E564" s="138" t="str">
        <f t="shared" si="29"/>
        <v/>
      </c>
    </row>
    <row r="565" spans="1:5" ht="13.5" thickBot="1" x14ac:dyDescent="0.25">
      <c r="A565" s="143"/>
      <c r="B565" s="135"/>
      <c r="C565" s="144"/>
      <c r="D565" s="137"/>
      <c r="E565" s="138" t="str">
        <f t="shared" si="29"/>
        <v/>
      </c>
    </row>
    <row r="566" spans="1:5" ht="15.75" thickBot="1" x14ac:dyDescent="0.25">
      <c r="A566" s="145" t="s">
        <v>167</v>
      </c>
      <c r="B566" s="135">
        <f>IF(ISERROR(VLOOKUP(B557,planillanomina,19,FALSE)),"",VLOOKUP(B557,planillanomina,19,FALSE))</f>
        <v>804000</v>
      </c>
      <c r="C566" s="146" t="s">
        <v>168</v>
      </c>
      <c r="D566" s="137">
        <f>IF(ISERROR(VLOOKUP(B557,planillanomina,25,FALSE)),"",VLOOKUP(B557,planillanomina,25,FALSE))</f>
        <v>102100</v>
      </c>
      <c r="E566" s="138" t="str">
        <f t="shared" si="29"/>
        <v/>
      </c>
    </row>
    <row r="567" spans="1:5" x14ac:dyDescent="0.2">
      <c r="A567" s="143"/>
      <c r="B567" s="147"/>
      <c r="C567" s="144"/>
      <c r="D567" s="144"/>
      <c r="E567" s="133"/>
    </row>
    <row r="568" spans="1:5" ht="13.5" thickBot="1" x14ac:dyDescent="0.25">
      <c r="A568" s="148"/>
      <c r="B568" s="149"/>
      <c r="C568" s="150"/>
      <c r="D568" s="150"/>
      <c r="E568" s="151"/>
    </row>
    <row r="569" spans="1:5" ht="18.75" thickBot="1" x14ac:dyDescent="0.3">
      <c r="B569" s="36"/>
      <c r="C569" s="37" t="s">
        <v>87</v>
      </c>
      <c r="D569" s="253">
        <f>IF(ISERROR(VLOOKUP(B557,planillanomina,26,FALSE)),"",VLOOKUP(B557,planillanomina,26,FALSE))</f>
        <v>701900</v>
      </c>
      <c r="E569" s="254" t="str">
        <f>IF(ISERROR(VLOOKUP(C560,planillanomina,25,FALSE)),"",VLOOKUP(C560,planillanomina,25,FALSE))</f>
        <v/>
      </c>
    </row>
  </sheetData>
  <mergeCells count="270">
    <mergeCell ref="D569:E569"/>
    <mergeCell ref="A555:E555"/>
    <mergeCell ref="A556:E556"/>
    <mergeCell ref="B557:E557"/>
    <mergeCell ref="B558:E558"/>
    <mergeCell ref="A559:D559"/>
    <mergeCell ref="A540:D540"/>
    <mergeCell ref="D550:E550"/>
    <mergeCell ref="A552:E552"/>
    <mergeCell ref="A553:E553"/>
    <mergeCell ref="A554:E554"/>
    <mergeCell ref="A535:E535"/>
    <mergeCell ref="A536:E536"/>
    <mergeCell ref="A537:E537"/>
    <mergeCell ref="B538:E538"/>
    <mergeCell ref="B539:E539"/>
    <mergeCell ref="B520:E520"/>
    <mergeCell ref="A521:D521"/>
    <mergeCell ref="D531:E531"/>
    <mergeCell ref="A533:E533"/>
    <mergeCell ref="A534:E534"/>
    <mergeCell ref="A515:E515"/>
    <mergeCell ref="A516:E516"/>
    <mergeCell ref="A517:E517"/>
    <mergeCell ref="A518:E518"/>
    <mergeCell ref="B519:E519"/>
    <mergeCell ref="B500:E500"/>
    <mergeCell ref="B501:E501"/>
    <mergeCell ref="A502:D502"/>
    <mergeCell ref="D512:E512"/>
    <mergeCell ref="A514:E514"/>
    <mergeCell ref="A495:E495"/>
    <mergeCell ref="A496:E496"/>
    <mergeCell ref="A497:E497"/>
    <mergeCell ref="A498:E498"/>
    <mergeCell ref="A499:E499"/>
    <mergeCell ref="A480:E480"/>
    <mergeCell ref="B481:E481"/>
    <mergeCell ref="B482:E482"/>
    <mergeCell ref="A483:D483"/>
    <mergeCell ref="D493:E493"/>
    <mergeCell ref="D474:E474"/>
    <mergeCell ref="A476:E476"/>
    <mergeCell ref="A477:E477"/>
    <mergeCell ref="A478:E478"/>
    <mergeCell ref="A479:E479"/>
    <mergeCell ref="A460:E460"/>
    <mergeCell ref="A461:E461"/>
    <mergeCell ref="B462:E462"/>
    <mergeCell ref="B463:E463"/>
    <mergeCell ref="A464:D464"/>
    <mergeCell ref="A445:D445"/>
    <mergeCell ref="D455:E455"/>
    <mergeCell ref="A457:E457"/>
    <mergeCell ref="A458:E458"/>
    <mergeCell ref="A459:E459"/>
    <mergeCell ref="A440:E440"/>
    <mergeCell ref="A441:E441"/>
    <mergeCell ref="A442:E442"/>
    <mergeCell ref="B443:E443"/>
    <mergeCell ref="B444:E444"/>
    <mergeCell ref="B425:E425"/>
    <mergeCell ref="A426:D426"/>
    <mergeCell ref="D436:E436"/>
    <mergeCell ref="A438:E438"/>
    <mergeCell ref="A439:E439"/>
    <mergeCell ref="A420:E420"/>
    <mergeCell ref="A421:E421"/>
    <mergeCell ref="A422:E422"/>
    <mergeCell ref="A423:E423"/>
    <mergeCell ref="B424:E424"/>
    <mergeCell ref="B405:E405"/>
    <mergeCell ref="B406:E406"/>
    <mergeCell ref="A407:D407"/>
    <mergeCell ref="D417:E417"/>
    <mergeCell ref="A419:E419"/>
    <mergeCell ref="A400:E400"/>
    <mergeCell ref="A401:E401"/>
    <mergeCell ref="A402:E402"/>
    <mergeCell ref="A403:E403"/>
    <mergeCell ref="A404:E404"/>
    <mergeCell ref="A385:E385"/>
    <mergeCell ref="B386:E386"/>
    <mergeCell ref="B387:E387"/>
    <mergeCell ref="A388:D388"/>
    <mergeCell ref="D398:E398"/>
    <mergeCell ref="D379:E379"/>
    <mergeCell ref="A381:E381"/>
    <mergeCell ref="A382:E382"/>
    <mergeCell ref="A383:E383"/>
    <mergeCell ref="A384:E384"/>
    <mergeCell ref="A365:E365"/>
    <mergeCell ref="A366:E366"/>
    <mergeCell ref="B367:E367"/>
    <mergeCell ref="B368:E368"/>
    <mergeCell ref="A369:D369"/>
    <mergeCell ref="A350:D350"/>
    <mergeCell ref="D360:E360"/>
    <mergeCell ref="A362:E362"/>
    <mergeCell ref="A363:E363"/>
    <mergeCell ref="A364:E364"/>
    <mergeCell ref="A345:E345"/>
    <mergeCell ref="A346:E346"/>
    <mergeCell ref="A347:E347"/>
    <mergeCell ref="B348:E348"/>
    <mergeCell ref="B349:E349"/>
    <mergeCell ref="B330:E330"/>
    <mergeCell ref="A331:D331"/>
    <mergeCell ref="D341:E341"/>
    <mergeCell ref="A343:E343"/>
    <mergeCell ref="A344:E344"/>
    <mergeCell ref="A325:E325"/>
    <mergeCell ref="A326:E326"/>
    <mergeCell ref="A327:E327"/>
    <mergeCell ref="A328:E328"/>
    <mergeCell ref="B329:E329"/>
    <mergeCell ref="B310:E310"/>
    <mergeCell ref="B311:E311"/>
    <mergeCell ref="A312:D312"/>
    <mergeCell ref="D322:E322"/>
    <mergeCell ref="A324:E324"/>
    <mergeCell ref="A305:E305"/>
    <mergeCell ref="A306:E306"/>
    <mergeCell ref="A307:E307"/>
    <mergeCell ref="A308:E308"/>
    <mergeCell ref="A309:E309"/>
    <mergeCell ref="A290:E290"/>
    <mergeCell ref="B291:E291"/>
    <mergeCell ref="B292:E292"/>
    <mergeCell ref="A293:D293"/>
    <mergeCell ref="D303:E303"/>
    <mergeCell ref="D284:E284"/>
    <mergeCell ref="A286:E286"/>
    <mergeCell ref="A287:E287"/>
    <mergeCell ref="A288:E288"/>
    <mergeCell ref="A289:E289"/>
    <mergeCell ref="A270:E270"/>
    <mergeCell ref="A271:E271"/>
    <mergeCell ref="B272:E272"/>
    <mergeCell ref="B273:E273"/>
    <mergeCell ref="A274:D274"/>
    <mergeCell ref="A255:D255"/>
    <mergeCell ref="D265:E265"/>
    <mergeCell ref="A267:E267"/>
    <mergeCell ref="A268:E268"/>
    <mergeCell ref="A269:E269"/>
    <mergeCell ref="A250:E250"/>
    <mergeCell ref="A251:E251"/>
    <mergeCell ref="A252:E252"/>
    <mergeCell ref="B253:E253"/>
    <mergeCell ref="B254:E254"/>
    <mergeCell ref="B235:E235"/>
    <mergeCell ref="A236:D236"/>
    <mergeCell ref="D246:E246"/>
    <mergeCell ref="A248:E248"/>
    <mergeCell ref="A249:E249"/>
    <mergeCell ref="A230:E230"/>
    <mergeCell ref="A231:E231"/>
    <mergeCell ref="A232:E232"/>
    <mergeCell ref="A233:E233"/>
    <mergeCell ref="B234:E234"/>
    <mergeCell ref="B215:E215"/>
    <mergeCell ref="B216:E216"/>
    <mergeCell ref="A217:D217"/>
    <mergeCell ref="D227:E227"/>
    <mergeCell ref="A229:E229"/>
    <mergeCell ref="A210:E210"/>
    <mergeCell ref="A211:E211"/>
    <mergeCell ref="A212:E212"/>
    <mergeCell ref="A213:E213"/>
    <mergeCell ref="A214:E214"/>
    <mergeCell ref="A195:E195"/>
    <mergeCell ref="B196:E196"/>
    <mergeCell ref="B197:E197"/>
    <mergeCell ref="A198:D198"/>
    <mergeCell ref="D208:E208"/>
    <mergeCell ref="D189:E189"/>
    <mergeCell ref="A191:E191"/>
    <mergeCell ref="A192:E192"/>
    <mergeCell ref="A193:E193"/>
    <mergeCell ref="A194:E194"/>
    <mergeCell ref="A175:E175"/>
    <mergeCell ref="A176:E176"/>
    <mergeCell ref="B177:E177"/>
    <mergeCell ref="B178:E178"/>
    <mergeCell ref="A179:D179"/>
    <mergeCell ref="A160:D160"/>
    <mergeCell ref="D170:E170"/>
    <mergeCell ref="A172:E172"/>
    <mergeCell ref="A173:E173"/>
    <mergeCell ref="A174:E174"/>
    <mergeCell ref="A155:E155"/>
    <mergeCell ref="A156:E156"/>
    <mergeCell ref="A157:E157"/>
    <mergeCell ref="B158:E158"/>
    <mergeCell ref="B159:E159"/>
    <mergeCell ref="B140:E140"/>
    <mergeCell ref="A141:D141"/>
    <mergeCell ref="D151:E151"/>
    <mergeCell ref="A153:E153"/>
    <mergeCell ref="A154:E154"/>
    <mergeCell ref="A135:E135"/>
    <mergeCell ref="A136:E136"/>
    <mergeCell ref="A137:E137"/>
    <mergeCell ref="A138:E138"/>
    <mergeCell ref="B139:E139"/>
    <mergeCell ref="B120:E120"/>
    <mergeCell ref="B121:E121"/>
    <mergeCell ref="A122:D122"/>
    <mergeCell ref="D132:E132"/>
    <mergeCell ref="A134:E134"/>
    <mergeCell ref="A115:E115"/>
    <mergeCell ref="A116:E116"/>
    <mergeCell ref="A117:E117"/>
    <mergeCell ref="A118:E118"/>
    <mergeCell ref="A119:E119"/>
    <mergeCell ref="A100:E100"/>
    <mergeCell ref="B101:E101"/>
    <mergeCell ref="B102:E102"/>
    <mergeCell ref="A103:D103"/>
    <mergeCell ref="D113:E113"/>
    <mergeCell ref="D94:E94"/>
    <mergeCell ref="A96:E96"/>
    <mergeCell ref="A97:E97"/>
    <mergeCell ref="A98:E98"/>
    <mergeCell ref="A99:E99"/>
    <mergeCell ref="A80:E80"/>
    <mergeCell ref="A81:E81"/>
    <mergeCell ref="B82:E82"/>
    <mergeCell ref="B83:E83"/>
    <mergeCell ref="A84:D84"/>
    <mergeCell ref="A65:D65"/>
    <mergeCell ref="D75:E75"/>
    <mergeCell ref="A77:E77"/>
    <mergeCell ref="A78:E78"/>
    <mergeCell ref="A79:E79"/>
    <mergeCell ref="A60:E60"/>
    <mergeCell ref="A61:E61"/>
    <mergeCell ref="A62:E62"/>
    <mergeCell ref="B63:E63"/>
    <mergeCell ref="B64:E64"/>
    <mergeCell ref="B45:E45"/>
    <mergeCell ref="A46:D46"/>
    <mergeCell ref="D56:E56"/>
    <mergeCell ref="A58:E58"/>
    <mergeCell ref="A59:E59"/>
    <mergeCell ref="A40:E40"/>
    <mergeCell ref="A41:E41"/>
    <mergeCell ref="A42:E42"/>
    <mergeCell ref="A43:E43"/>
    <mergeCell ref="B44:E44"/>
    <mergeCell ref="B25:E25"/>
    <mergeCell ref="B26:E26"/>
    <mergeCell ref="A27:D27"/>
    <mergeCell ref="D37:E37"/>
    <mergeCell ref="A39:E39"/>
    <mergeCell ref="A20:E20"/>
    <mergeCell ref="A21:E21"/>
    <mergeCell ref="A22:E22"/>
    <mergeCell ref="A23:E23"/>
    <mergeCell ref="A24:E24"/>
    <mergeCell ref="D18:E18"/>
    <mergeCell ref="A1:E1"/>
    <mergeCell ref="A5:E5"/>
    <mergeCell ref="B6:E6"/>
    <mergeCell ref="A8:D8"/>
    <mergeCell ref="B7:E7"/>
    <mergeCell ref="A2:E2"/>
    <mergeCell ref="A3:E3"/>
    <mergeCell ref="A4:E4"/>
  </mergeCells>
  <pageMargins left="0.25" right="0.25" top="0.75" bottom="0.75" header="0.3" footer="0.3"/>
  <pageSetup orientation="portrait" horizontalDpi="120" verticalDpi="144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2:I115"/>
  <sheetViews>
    <sheetView topLeftCell="A64" workbookViewId="0">
      <selection activeCell="H111" sqref="H111"/>
    </sheetView>
  </sheetViews>
  <sheetFormatPr baseColWidth="10" defaultRowHeight="12.75" x14ac:dyDescent="0.2"/>
  <cols>
    <col min="1" max="1" width="12.5703125" bestFit="1" customWidth="1"/>
  </cols>
  <sheetData>
    <row r="2" spans="2:5" ht="26.25" x14ac:dyDescent="0.4">
      <c r="B2" s="280" t="s">
        <v>175</v>
      </c>
      <c r="C2" s="281"/>
      <c r="D2" s="281"/>
      <c r="E2" s="281"/>
    </row>
    <row r="18" spans="1:6" s="71" customFormat="1" ht="25.5" x14ac:dyDescent="0.35">
      <c r="A18" s="286" t="s">
        <v>176</v>
      </c>
      <c r="B18" s="283"/>
      <c r="C18" s="283"/>
      <c r="E18" s="282" t="s">
        <v>177</v>
      </c>
      <c r="F18" s="283"/>
    </row>
    <row r="20" spans="1:6" ht="26.25" x14ac:dyDescent="0.4">
      <c r="B20" s="280" t="s">
        <v>175</v>
      </c>
      <c r="C20" s="281"/>
      <c r="D20" s="281"/>
      <c r="E20" s="281"/>
    </row>
    <row r="36" spans="1:9" s="71" customFormat="1" ht="25.5" x14ac:dyDescent="0.35">
      <c r="A36" s="284">
        <v>74</v>
      </c>
      <c r="B36" s="284"/>
      <c r="C36" s="114"/>
      <c r="D36" s="114"/>
      <c r="E36" s="285">
        <v>0</v>
      </c>
      <c r="F36" s="282"/>
    </row>
    <row r="37" spans="1:9" s="71" customFormat="1" ht="18" customHeight="1" x14ac:dyDescent="0.35">
      <c r="A37" s="290" t="s">
        <v>181</v>
      </c>
      <c r="B37" s="290"/>
      <c r="E37" s="291"/>
      <c r="F37" s="292"/>
    </row>
    <row r="39" spans="1:9" ht="26.25" x14ac:dyDescent="0.4">
      <c r="B39" s="280" t="s">
        <v>175</v>
      </c>
      <c r="C39" s="281"/>
      <c r="D39" s="281"/>
      <c r="E39" s="281"/>
    </row>
    <row r="40" spans="1:9" x14ac:dyDescent="0.2">
      <c r="I40" s="113"/>
    </row>
    <row r="47" spans="1:9" x14ac:dyDescent="0.2">
      <c r="H47" s="113"/>
    </row>
    <row r="55" spans="1:6" s="71" customFormat="1" ht="25.5" x14ac:dyDescent="0.35">
      <c r="A55" s="293">
        <v>2.9999999999999997E-4</v>
      </c>
      <c r="B55" s="293"/>
      <c r="C55" s="114"/>
      <c r="D55" s="114"/>
      <c r="E55" s="287">
        <v>0</v>
      </c>
      <c r="F55" s="282"/>
    </row>
    <row r="56" spans="1:6" x14ac:dyDescent="0.2">
      <c r="A56" s="289" t="s">
        <v>110</v>
      </c>
      <c r="B56" s="289"/>
      <c r="C56" s="115"/>
      <c r="D56" s="115"/>
      <c r="E56" s="289" t="s">
        <v>110</v>
      </c>
      <c r="F56" s="289"/>
    </row>
    <row r="57" spans="1:6" x14ac:dyDescent="0.2">
      <c r="A57" s="72"/>
      <c r="B57" s="72"/>
      <c r="E57" s="72"/>
      <c r="F57" s="72"/>
    </row>
    <row r="58" spans="1:6" ht="26.25" x14ac:dyDescent="0.4">
      <c r="B58" s="280" t="s">
        <v>175</v>
      </c>
      <c r="C58" s="281"/>
      <c r="D58" s="281"/>
      <c r="E58" s="281"/>
    </row>
    <row r="74" spans="1:6" s="71" customFormat="1" ht="25.5" x14ac:dyDescent="0.35">
      <c r="A74" s="293">
        <v>2.0000000000000001E-4</v>
      </c>
      <c r="B74" s="282"/>
      <c r="C74" s="114"/>
      <c r="D74" s="114"/>
      <c r="E74" s="293">
        <v>2.9999999999999997E-4</v>
      </c>
      <c r="F74" s="282"/>
    </row>
    <row r="75" spans="1:6" s="71" customFormat="1" ht="18" customHeight="1" x14ac:dyDescent="0.35">
      <c r="A75" s="289" t="s">
        <v>178</v>
      </c>
      <c r="B75" s="289"/>
      <c r="C75" s="114"/>
      <c r="D75" s="114"/>
      <c r="E75" s="289" t="s">
        <v>178</v>
      </c>
      <c r="F75" s="289"/>
    </row>
    <row r="77" spans="1:6" ht="26.25" x14ac:dyDescent="0.4">
      <c r="B77" s="280" t="s">
        <v>175</v>
      </c>
      <c r="C77" s="281"/>
      <c r="D77" s="281"/>
      <c r="E77" s="281"/>
    </row>
    <row r="93" spans="1:6" s="71" customFormat="1" ht="25.5" x14ac:dyDescent="0.35">
      <c r="A93" s="287">
        <v>0.05</v>
      </c>
      <c r="B93" s="282"/>
      <c r="C93" s="114"/>
      <c r="D93" s="114"/>
      <c r="E93" s="287">
        <v>0.1</v>
      </c>
      <c r="F93" s="282"/>
    </row>
    <row r="94" spans="1:6" s="71" customFormat="1" ht="19.5" customHeight="1" x14ac:dyDescent="0.35">
      <c r="A94" s="289" t="s">
        <v>179</v>
      </c>
      <c r="B94" s="289"/>
      <c r="C94" s="114"/>
      <c r="D94" s="114"/>
      <c r="E94" s="289" t="s">
        <v>179</v>
      </c>
      <c r="F94" s="289"/>
    </row>
    <row r="96" spans="1:6" ht="26.25" x14ac:dyDescent="0.4">
      <c r="B96" s="280" t="s">
        <v>175</v>
      </c>
      <c r="C96" s="281"/>
      <c r="D96" s="281"/>
      <c r="E96" s="281"/>
    </row>
    <row r="112" spans="1:6" s="71" customFormat="1" ht="25.5" x14ac:dyDescent="0.35">
      <c r="A112" s="288">
        <v>5.0000000000000001E-3</v>
      </c>
      <c r="B112" s="288"/>
      <c r="C112" s="114"/>
      <c r="D112" s="114"/>
      <c r="E112" s="287">
        <v>0.02</v>
      </c>
      <c r="F112" s="282"/>
    </row>
    <row r="113" spans="1:6" s="71" customFormat="1" ht="15" customHeight="1" x14ac:dyDescent="0.35">
      <c r="A113" s="289" t="s">
        <v>180</v>
      </c>
      <c r="B113" s="289"/>
      <c r="C113" s="114"/>
      <c r="D113" s="114"/>
      <c r="E113" s="289" t="s">
        <v>180</v>
      </c>
      <c r="F113" s="289"/>
    </row>
    <row r="115" spans="1:6" s="71" customFormat="1" ht="25.5" x14ac:dyDescent="0.35">
      <c r="A115" s="283"/>
      <c r="B115" s="283"/>
      <c r="E115" s="283"/>
      <c r="F115" s="283"/>
    </row>
  </sheetData>
  <mergeCells count="30">
    <mergeCell ref="A113:B113"/>
    <mergeCell ref="E113:F113"/>
    <mergeCell ref="A115:B115"/>
    <mergeCell ref="E115:F115"/>
    <mergeCell ref="A37:B37"/>
    <mergeCell ref="E37:F37"/>
    <mergeCell ref="A56:B56"/>
    <mergeCell ref="E56:F56"/>
    <mergeCell ref="A75:B75"/>
    <mergeCell ref="E75:F75"/>
    <mergeCell ref="B39:E39"/>
    <mergeCell ref="A55:B55"/>
    <mergeCell ref="E55:F55"/>
    <mergeCell ref="B58:E58"/>
    <mergeCell ref="A74:B74"/>
    <mergeCell ref="E74:F74"/>
    <mergeCell ref="B77:E77"/>
    <mergeCell ref="A93:B93"/>
    <mergeCell ref="E93:F93"/>
    <mergeCell ref="B96:E96"/>
    <mergeCell ref="A112:B112"/>
    <mergeCell ref="E112:F112"/>
    <mergeCell ref="A94:B94"/>
    <mergeCell ref="E94:F94"/>
    <mergeCell ref="B2:E2"/>
    <mergeCell ref="E18:F18"/>
    <mergeCell ref="B20:E20"/>
    <mergeCell ref="A36:B36"/>
    <mergeCell ref="E36:F36"/>
    <mergeCell ref="A18:C18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BD EMPLEADOS</vt:lpstr>
      <vt:lpstr>NOMINA</vt:lpstr>
      <vt:lpstr>COLILLA DE PAGO</vt:lpstr>
      <vt:lpstr>MAPA MENTAL</vt:lpstr>
      <vt:lpstr>datosempleados</vt:lpstr>
      <vt:lpstr>planillanomina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Mauricio Vasquez Posada</dc:creator>
  <cp:lastModifiedBy>AGENCIA 001</cp:lastModifiedBy>
  <cp:revision/>
  <cp:lastPrinted>2015-11-23T02:03:16Z</cp:lastPrinted>
  <dcterms:created xsi:type="dcterms:W3CDTF">2002-09-19T11:10:59Z</dcterms:created>
  <dcterms:modified xsi:type="dcterms:W3CDTF">2015-11-27T03:05:57Z</dcterms:modified>
</cp:coreProperties>
</file>